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7C3774CA-EBC0-4DC0-A5EB-A78F9F0A8E8E}" xr6:coauthVersionLast="47" xr6:coauthVersionMax="47" xr10:uidLastSave="{00000000-0000-0000-0000-000000000000}"/>
  <bookViews>
    <workbookView xWindow="-110" yWindow="-110" windowWidth="19420" windowHeight="10560" activeTab="4" xr2:uid="{00000000-000D-0000-FFFF-FFFF00000000}"/>
  </bookViews>
  <sheets>
    <sheet name="2-3;3-7" sheetId="4" r:id="rId1"/>
    <sheet name="н факт 1-3" sheetId="6" r:id="rId2"/>
    <sheet name="н факт3-7" sheetId="7" r:id="rId3"/>
    <sheet name="перспективка" sheetId="8" r:id="rId4"/>
    <sheet name="перерасчет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96" i="3" l="1"/>
  <c r="E665" i="3"/>
  <c r="E664" i="3"/>
  <c r="N17" i="6" s="1"/>
  <c r="D665" i="3"/>
  <c r="D664" i="3"/>
  <c r="G275" i="3"/>
  <c r="G271" i="3"/>
  <c r="G272" i="3"/>
  <c r="E232" i="3"/>
  <c r="E231" i="3"/>
  <c r="D231" i="3"/>
  <c r="E230" i="3"/>
  <c r="H10" i="6"/>
  <c r="E229" i="3"/>
  <c r="G193" i="3"/>
  <c r="F31" i="7"/>
  <c r="O31" i="7" s="1"/>
  <c r="P31" i="7" s="1"/>
  <c r="G675" i="3"/>
  <c r="G674" i="3"/>
  <c r="G673" i="3"/>
  <c r="G672" i="3"/>
  <c r="G671" i="3"/>
  <c r="G670" i="3"/>
  <c r="F670" i="3" s="1"/>
  <c r="G669" i="3"/>
  <c r="F669" i="3"/>
  <c r="G668" i="3"/>
  <c r="G667" i="3"/>
  <c r="F667" i="3" s="1"/>
  <c r="G666" i="3"/>
  <c r="F675" i="3"/>
  <c r="F674" i="3"/>
  <c r="F673" i="3"/>
  <c r="F672" i="3"/>
  <c r="F671" i="3"/>
  <c r="F666" i="3"/>
  <c r="E675" i="3"/>
  <c r="E674" i="3"/>
  <c r="E672" i="3"/>
  <c r="E671" i="3"/>
  <c r="E670" i="3"/>
  <c r="E669" i="3"/>
  <c r="D669" i="3" s="1"/>
  <c r="E668" i="3"/>
  <c r="E667" i="3"/>
  <c r="E666" i="3"/>
  <c r="D675" i="3"/>
  <c r="D674" i="3"/>
  <c r="D672" i="3"/>
  <c r="D671" i="3"/>
  <c r="D666" i="3"/>
  <c r="G665" i="3"/>
  <c r="G664" i="3"/>
  <c r="N17" i="7" s="1"/>
  <c r="G663" i="3"/>
  <c r="G662" i="3"/>
  <c r="G660" i="3"/>
  <c r="F665" i="3"/>
  <c r="F664" i="3"/>
  <c r="F663" i="3"/>
  <c r="F662" i="3"/>
  <c r="F661" i="3"/>
  <c r="F660" i="3"/>
  <c r="E662" i="3"/>
  <c r="E661" i="3"/>
  <c r="E660" i="3"/>
  <c r="D662" i="3"/>
  <c r="D661" i="3"/>
  <c r="D660" i="3"/>
  <c r="G536" i="3"/>
  <c r="G535" i="3"/>
  <c r="G534" i="3"/>
  <c r="G533" i="3"/>
  <c r="G531" i="3"/>
  <c r="L9" i="6" s="1"/>
  <c r="G530" i="3"/>
  <c r="F530" i="3"/>
  <c r="G529" i="3"/>
  <c r="F529" i="3"/>
  <c r="G528" i="3"/>
  <c r="F528" i="3"/>
  <c r="G527" i="3"/>
  <c r="L10" i="7"/>
  <c r="F536" i="3"/>
  <c r="F535" i="3"/>
  <c r="F534" i="3"/>
  <c r="F533" i="3"/>
  <c r="F531" i="3"/>
  <c r="E536" i="3"/>
  <c r="E534" i="3"/>
  <c r="E533" i="3"/>
  <c r="E532" i="3"/>
  <c r="E531" i="3"/>
  <c r="L9" i="7" s="1"/>
  <c r="E530" i="3"/>
  <c r="E529" i="3"/>
  <c r="E528" i="3"/>
  <c r="D528" i="3"/>
  <c r="E527" i="3"/>
  <c r="D527" i="3" s="1"/>
  <c r="L10" i="6"/>
  <c r="D536" i="3"/>
  <c r="D534" i="3"/>
  <c r="D533" i="3"/>
  <c r="D532" i="3"/>
  <c r="D531" i="3"/>
  <c r="G526" i="3"/>
  <c r="G525" i="3"/>
  <c r="G524" i="3"/>
  <c r="F526" i="3"/>
  <c r="F525" i="3"/>
  <c r="F524" i="3"/>
  <c r="D523" i="3"/>
  <c r="E463" i="3"/>
  <c r="E461" i="3"/>
  <c r="E460" i="3"/>
  <c r="D460" i="3"/>
  <c r="E459" i="3"/>
  <c r="E458" i="3"/>
  <c r="D458" i="3" s="1"/>
  <c r="E457" i="3"/>
  <c r="D463" i="3"/>
  <c r="D461" i="3"/>
  <c r="G454" i="3"/>
  <c r="G453" i="3"/>
  <c r="G452" i="3"/>
  <c r="G450" i="3"/>
  <c r="G449" i="3"/>
  <c r="G448" i="3"/>
  <c r="F448" i="3" s="1"/>
  <c r="G447" i="3"/>
  <c r="F447" i="3" s="1"/>
  <c r="G446" i="3"/>
  <c r="G445" i="3"/>
  <c r="F445" i="3"/>
  <c r="G444" i="3"/>
  <c r="F454" i="3"/>
  <c r="F453" i="3"/>
  <c r="F452" i="3"/>
  <c r="F451" i="3"/>
  <c r="F450" i="3"/>
  <c r="F449" i="3"/>
  <c r="F444" i="3"/>
  <c r="E454" i="3"/>
  <c r="E452" i="3"/>
  <c r="E450" i="3"/>
  <c r="E449" i="3"/>
  <c r="E448" i="3"/>
  <c r="D448" i="3" s="1"/>
  <c r="E447" i="3"/>
  <c r="E446" i="3"/>
  <c r="D446" i="3" s="1"/>
  <c r="E445" i="3"/>
  <c r="E444" i="3"/>
  <c r="D454" i="3"/>
  <c r="D452" i="3"/>
  <c r="D450" i="3"/>
  <c r="D449" i="3"/>
  <c r="D444" i="3"/>
  <c r="G443" i="3"/>
  <c r="K17" i="7" s="1"/>
  <c r="G442" i="3"/>
  <c r="F443" i="3"/>
  <c r="F442" i="3"/>
  <c r="E443" i="3"/>
  <c r="E442" i="3"/>
  <c r="D443" i="3"/>
  <c r="D442" i="3"/>
  <c r="G400" i="3"/>
  <c r="I31" i="7"/>
  <c r="F400" i="3"/>
  <c r="E400" i="3"/>
  <c r="D400" i="3"/>
  <c r="G379" i="3"/>
  <c r="G378" i="3"/>
  <c r="G377" i="3"/>
  <c r="G376" i="3"/>
  <c r="G375" i="3"/>
  <c r="F375" i="3"/>
  <c r="G374" i="3"/>
  <c r="F374" i="3"/>
  <c r="G373" i="3"/>
  <c r="F373" i="3" s="1"/>
  <c r="G372" i="3"/>
  <c r="F372" i="3"/>
  <c r="F379" i="3"/>
  <c r="F378" i="3"/>
  <c r="F377" i="3"/>
  <c r="F376" i="3"/>
  <c r="E377" i="3"/>
  <c r="E376" i="3"/>
  <c r="E375" i="3"/>
  <c r="D375" i="3" s="1"/>
  <c r="E374" i="3"/>
  <c r="E373" i="3"/>
  <c r="E372" i="3"/>
  <c r="D379" i="3"/>
  <c r="D377" i="3"/>
  <c r="D376" i="3"/>
  <c r="G351" i="3"/>
  <c r="G348" i="3"/>
  <c r="F351" i="3"/>
  <c r="F348" i="3"/>
  <c r="F350" i="3" s="1"/>
  <c r="F349" i="3"/>
  <c r="G340" i="3"/>
  <c r="G339" i="3"/>
  <c r="F340" i="3"/>
  <c r="F339" i="3"/>
  <c r="E340" i="3"/>
  <c r="E339" i="3"/>
  <c r="D340" i="3"/>
  <c r="D339" i="3"/>
  <c r="G319" i="3"/>
  <c r="I15" i="7"/>
  <c r="G318" i="3"/>
  <c r="G317" i="3"/>
  <c r="G316" i="3"/>
  <c r="G315" i="3"/>
  <c r="G314" i="3"/>
  <c r="G313" i="3"/>
  <c r="G312" i="3"/>
  <c r="F319" i="3"/>
  <c r="F318" i="3"/>
  <c r="F317" i="3"/>
  <c r="F316" i="3"/>
  <c r="F315" i="3"/>
  <c r="F314" i="3"/>
  <c r="F313" i="3"/>
  <c r="F312" i="3"/>
  <c r="G292" i="3"/>
  <c r="G291" i="3"/>
  <c r="G290" i="3"/>
  <c r="G289" i="3"/>
  <c r="G288" i="3"/>
  <c r="G287" i="3"/>
  <c r="G286" i="3"/>
  <c r="F286" i="3"/>
  <c r="G285" i="3"/>
  <c r="G284" i="3"/>
  <c r="I10" i="7" s="1"/>
  <c r="F292" i="3"/>
  <c r="F291" i="3"/>
  <c r="F290" i="3"/>
  <c r="F289" i="3"/>
  <c r="I9" i="7"/>
  <c r="F288" i="3"/>
  <c r="E292" i="3"/>
  <c r="E291" i="3"/>
  <c r="E290" i="3"/>
  <c r="E289" i="3"/>
  <c r="E288" i="3"/>
  <c r="I11" i="6" s="1"/>
  <c r="E287" i="3"/>
  <c r="D287" i="3" s="1"/>
  <c r="E286" i="3"/>
  <c r="D286" i="3"/>
  <c r="E285" i="3"/>
  <c r="E284" i="3"/>
  <c r="D284" i="3" s="1"/>
  <c r="I10" i="6"/>
  <c r="D292" i="3"/>
  <c r="D291" i="3"/>
  <c r="D290" i="3"/>
  <c r="D289" i="3"/>
  <c r="I9" i="6"/>
  <c r="D288" i="3"/>
  <c r="F275" i="3"/>
  <c r="F271" i="3"/>
  <c r="E275" i="3"/>
  <c r="E271" i="3"/>
  <c r="E272" i="3"/>
  <c r="D275" i="3"/>
  <c r="D271" i="3"/>
  <c r="D272" i="3"/>
  <c r="G238" i="3"/>
  <c r="G237" i="3"/>
  <c r="G236" i="3"/>
  <c r="G235" i="3"/>
  <c r="H11" i="7" s="1"/>
  <c r="G234" i="3"/>
  <c r="G233" i="3"/>
  <c r="G232" i="3"/>
  <c r="F232" i="3" s="1"/>
  <c r="G231" i="3"/>
  <c r="F231" i="3" s="1"/>
  <c r="G230" i="3"/>
  <c r="F230" i="3" s="1"/>
  <c r="H10" i="7"/>
  <c r="G229" i="3"/>
  <c r="F238" i="3"/>
  <c r="F237" i="3"/>
  <c r="F236" i="3"/>
  <c r="F235" i="3"/>
  <c r="F229" i="3"/>
  <c r="F234" i="3"/>
  <c r="E238" i="3"/>
  <c r="E237" i="3"/>
  <c r="E235" i="3"/>
  <c r="E234" i="3"/>
  <c r="E233" i="3"/>
  <c r="D233" i="3" s="1"/>
  <c r="D238" i="3"/>
  <c r="D237" i="3"/>
  <c r="D235" i="3"/>
  <c r="D234" i="3"/>
  <c r="D229" i="3"/>
  <c r="G228" i="3"/>
  <c r="G227" i="3"/>
  <c r="F228" i="3"/>
  <c r="F227" i="3"/>
  <c r="E228" i="3"/>
  <c r="H17" i="6"/>
  <c r="E227" i="3"/>
  <c r="D228" i="3"/>
  <c r="D227" i="3"/>
  <c r="H24" i="6"/>
  <c r="E220" i="3"/>
  <c r="H16" i="6" s="1"/>
  <c r="E219" i="3"/>
  <c r="H21" i="6"/>
  <c r="E218" i="3"/>
  <c r="D220" i="3"/>
  <c r="D219" i="3"/>
  <c r="D218" i="3"/>
  <c r="F194" i="3"/>
  <c r="F193" i="3"/>
  <c r="E194" i="3"/>
  <c r="E193" i="3"/>
  <c r="G32" i="6"/>
  <c r="D194" i="3"/>
  <c r="D193" i="3"/>
  <c r="G184" i="3"/>
  <c r="G183" i="3"/>
  <c r="G182" i="3"/>
  <c r="G181" i="3"/>
  <c r="G180" i="3"/>
  <c r="G179" i="3"/>
  <c r="G178" i="3"/>
  <c r="F178" i="3" s="1"/>
  <c r="G177" i="3"/>
  <c r="G10" i="7"/>
  <c r="F184" i="3"/>
  <c r="F183" i="3"/>
  <c r="F182" i="3"/>
  <c r="F181" i="3"/>
  <c r="E184" i="3"/>
  <c r="E183" i="3"/>
  <c r="G17" i="6"/>
  <c r="E182" i="3"/>
  <c r="E181" i="3"/>
  <c r="E180" i="3"/>
  <c r="D180" i="3" s="1"/>
  <c r="E179" i="3"/>
  <c r="D179" i="3"/>
  <c r="E178" i="3"/>
  <c r="D178" i="3" s="1"/>
  <c r="E177" i="3"/>
  <c r="G10" i="6"/>
  <c r="D184" i="3"/>
  <c r="D183" i="3"/>
  <c r="D182" i="3"/>
  <c r="D181" i="3"/>
  <c r="G176" i="3"/>
  <c r="G175" i="3"/>
  <c r="G174" i="3"/>
  <c r="G173" i="3"/>
  <c r="G172" i="3"/>
  <c r="F176" i="3"/>
  <c r="F175" i="3"/>
  <c r="F174" i="3"/>
  <c r="F173" i="3"/>
  <c r="F172" i="3"/>
  <c r="E176" i="3"/>
  <c r="E175" i="3"/>
  <c r="E174" i="3"/>
  <c r="E173" i="3"/>
  <c r="E172" i="3"/>
  <c r="D176" i="3"/>
  <c r="D175" i="3"/>
  <c r="D174" i="3"/>
  <c r="D173" i="3"/>
  <c r="D172" i="3"/>
  <c r="G161" i="3"/>
  <c r="G9" i="7" s="1"/>
  <c r="G160" i="3"/>
  <c r="G158" i="3"/>
  <c r="F161" i="3"/>
  <c r="F160" i="3"/>
  <c r="F158" i="3"/>
  <c r="F159" i="3" s="1"/>
  <c r="E161" i="3"/>
  <c r="G9" i="6"/>
  <c r="E160" i="3"/>
  <c r="E158" i="3"/>
  <c r="G21" i="6"/>
  <c r="D161" i="3"/>
  <c r="D160" i="3"/>
  <c r="D158" i="3"/>
  <c r="D159" i="3" s="1"/>
  <c r="G141" i="3"/>
  <c r="F141" i="3"/>
  <c r="G140" i="3"/>
  <c r="G139" i="3"/>
  <c r="G138" i="3"/>
  <c r="G137" i="3"/>
  <c r="F139" i="3"/>
  <c r="F138" i="3"/>
  <c r="F137" i="3"/>
  <c r="G123" i="3"/>
  <c r="G122" i="3"/>
  <c r="F122" i="3"/>
  <c r="G121" i="3"/>
  <c r="G120" i="3"/>
  <c r="E126" i="3"/>
  <c r="E125" i="3"/>
  <c r="E124" i="3"/>
  <c r="E123" i="3"/>
  <c r="D123" i="3" s="1"/>
  <c r="E122" i="3"/>
  <c r="E121" i="3"/>
  <c r="D121" i="3" s="1"/>
  <c r="E120" i="3"/>
  <c r="F10" i="6" s="1"/>
  <c r="D120" i="3"/>
  <c r="D126" i="3"/>
  <c r="D125" i="3"/>
  <c r="D124" i="3"/>
  <c r="G111" i="3"/>
  <c r="G110" i="3"/>
  <c r="G109" i="3"/>
  <c r="G108" i="3"/>
  <c r="G107" i="3"/>
  <c r="G106" i="3"/>
  <c r="F106" i="3"/>
  <c r="G105" i="3"/>
  <c r="G104" i="3"/>
  <c r="F104" i="3" s="1"/>
  <c r="G103" i="3"/>
  <c r="F10" i="7"/>
  <c r="F111" i="3"/>
  <c r="F110" i="3"/>
  <c r="F109" i="3"/>
  <c r="F108" i="3"/>
  <c r="F107" i="3"/>
  <c r="E109" i="3"/>
  <c r="E108" i="3"/>
  <c r="E107" i="3"/>
  <c r="F11" i="6" s="1"/>
  <c r="E106" i="3"/>
  <c r="D106" i="3" s="1"/>
  <c r="E105" i="3"/>
  <c r="E104" i="3"/>
  <c r="D104" i="3"/>
  <c r="E103" i="3"/>
  <c r="D103" i="3" s="1"/>
  <c r="D111" i="3"/>
  <c r="D109" i="3"/>
  <c r="D108" i="3"/>
  <c r="D107" i="3"/>
  <c r="G102" i="3"/>
  <c r="G101" i="3"/>
  <c r="G100" i="3"/>
  <c r="G99" i="3"/>
  <c r="F11" i="7" s="1"/>
  <c r="F102" i="3"/>
  <c r="F101" i="3"/>
  <c r="F100" i="3"/>
  <c r="F99" i="3"/>
  <c r="D98" i="3"/>
  <c r="G58" i="3"/>
  <c r="G57" i="3"/>
  <c r="G56" i="3"/>
  <c r="E23" i="7"/>
  <c r="F58" i="3"/>
  <c r="F57" i="3"/>
  <c r="F56" i="3"/>
  <c r="G32" i="3"/>
  <c r="G31" i="3"/>
  <c r="G30" i="3"/>
  <c r="G29" i="3"/>
  <c r="G28" i="3"/>
  <c r="E9" i="7" s="1"/>
  <c r="G27" i="3"/>
  <c r="G26" i="3"/>
  <c r="G25" i="3"/>
  <c r="F25" i="3"/>
  <c r="G24" i="3"/>
  <c r="F24" i="3"/>
  <c r="G23" i="3"/>
  <c r="E20" i="7" s="1"/>
  <c r="G22" i="3"/>
  <c r="F32" i="3"/>
  <c r="F31" i="3"/>
  <c r="F30" i="3"/>
  <c r="F29" i="3"/>
  <c r="F28" i="3"/>
  <c r="F23" i="3"/>
  <c r="F22" i="3"/>
  <c r="E32" i="3"/>
  <c r="E31" i="3"/>
  <c r="E17" i="6" s="1"/>
  <c r="E30" i="3"/>
  <c r="E29" i="3"/>
  <c r="E28" i="3"/>
  <c r="E27" i="3"/>
  <c r="E26" i="3"/>
  <c r="D26" i="3"/>
  <c r="E25" i="3"/>
  <c r="E10" i="6" s="1"/>
  <c r="E24" i="3"/>
  <c r="D24" i="3" s="1"/>
  <c r="E23" i="3"/>
  <c r="E22" i="3"/>
  <c r="D32" i="3"/>
  <c r="D31" i="3"/>
  <c r="D30" i="3"/>
  <c r="D29" i="3"/>
  <c r="D28" i="3"/>
  <c r="D23" i="3"/>
  <c r="E20" i="6" s="1"/>
  <c r="D22" i="3"/>
  <c r="G9" i="3"/>
  <c r="G6" i="3"/>
  <c r="G5" i="3"/>
  <c r="G3" i="3"/>
  <c r="G4" i="3" s="1"/>
  <c r="F9" i="3"/>
  <c r="F6" i="3"/>
  <c r="F5" i="3"/>
  <c r="F3" i="3"/>
  <c r="F4" i="3"/>
  <c r="E9" i="3"/>
  <c r="E6" i="3"/>
  <c r="E5" i="3"/>
  <c r="E3" i="3"/>
  <c r="E4" i="3"/>
  <c r="D9" i="3"/>
  <c r="D6" i="3"/>
  <c r="D5" i="3"/>
  <c r="D3" i="3"/>
  <c r="E21" i="6" s="1"/>
  <c r="J24" i="6"/>
  <c r="E29" i="7"/>
  <c r="N161" i="4"/>
  <c r="L161" i="4"/>
  <c r="J161" i="4"/>
  <c r="H161" i="4"/>
  <c r="F161" i="4"/>
  <c r="M160" i="4"/>
  <c r="E160" i="4"/>
  <c r="G160" i="4"/>
  <c r="K160" i="4"/>
  <c r="I160" i="4"/>
  <c r="N155" i="4"/>
  <c r="M155" i="4"/>
  <c r="L155" i="4"/>
  <c r="K155" i="4"/>
  <c r="J155" i="4"/>
  <c r="I155" i="4"/>
  <c r="H155" i="4"/>
  <c r="G155" i="4"/>
  <c r="F155" i="4"/>
  <c r="E155" i="4"/>
  <c r="M177" i="4"/>
  <c r="L177" i="4"/>
  <c r="K177" i="4"/>
  <c r="J177" i="4"/>
  <c r="I177" i="4"/>
  <c r="H177" i="4"/>
  <c r="G177" i="4"/>
  <c r="F177" i="4"/>
  <c r="E177" i="4"/>
  <c r="M157" i="4"/>
  <c r="K157" i="4"/>
  <c r="G157" i="4"/>
  <c r="E157" i="4"/>
  <c r="M156" i="4"/>
  <c r="L156" i="4"/>
  <c r="K156" i="4"/>
  <c r="J156" i="4"/>
  <c r="I156" i="4"/>
  <c r="H156" i="4"/>
  <c r="G156" i="4"/>
  <c r="F156" i="4"/>
  <c r="E156" i="4"/>
  <c r="E93" i="4"/>
  <c r="G93" i="4"/>
  <c r="I93" i="4"/>
  <c r="K93" i="4"/>
  <c r="F93" i="4"/>
  <c r="L83" i="4"/>
  <c r="N72" i="4"/>
  <c r="M72" i="4"/>
  <c r="L72" i="4"/>
  <c r="K72" i="4"/>
  <c r="J72" i="4"/>
  <c r="I72" i="4"/>
  <c r="H72" i="4"/>
  <c r="G72" i="4"/>
  <c r="F72" i="4"/>
  <c r="E72" i="4"/>
  <c r="K59" i="4"/>
  <c r="I59" i="4"/>
  <c r="G59" i="4"/>
  <c r="E59" i="4"/>
  <c r="N58" i="4"/>
  <c r="L58" i="4"/>
  <c r="J58" i="4"/>
  <c r="H58" i="4"/>
  <c r="F58" i="4"/>
  <c r="N56" i="4"/>
  <c r="M56" i="4"/>
  <c r="L56" i="4"/>
  <c r="K56" i="4"/>
  <c r="E56" i="4"/>
  <c r="F56" i="4"/>
  <c r="G56" i="4"/>
  <c r="H56" i="4"/>
  <c r="I56" i="4"/>
  <c r="J56" i="4"/>
  <c r="N35" i="4"/>
  <c r="L35" i="4"/>
  <c r="J35" i="4"/>
  <c r="H35" i="4"/>
  <c r="F35" i="4"/>
  <c r="M34" i="4"/>
  <c r="K34" i="4"/>
  <c r="I34" i="4"/>
  <c r="G34" i="4"/>
  <c r="E34" i="4"/>
  <c r="F9" i="4"/>
  <c r="F12" i="4"/>
  <c r="F13" i="4"/>
  <c r="F14" i="4"/>
  <c r="F16" i="4"/>
  <c r="F17" i="4"/>
  <c r="F18" i="4"/>
  <c r="F19" i="4"/>
  <c r="F21" i="4"/>
  <c r="F23" i="4"/>
  <c r="G9" i="4"/>
  <c r="G24" i="4" s="1"/>
  <c r="G12" i="4"/>
  <c r="G13" i="4"/>
  <c r="G14" i="4"/>
  <c r="G16" i="4"/>
  <c r="G17" i="4"/>
  <c r="G18" i="4"/>
  <c r="G19" i="4"/>
  <c r="G21" i="4"/>
  <c r="G23" i="4"/>
  <c r="H9" i="4"/>
  <c r="H12" i="4"/>
  <c r="H13" i="4"/>
  <c r="H14" i="4"/>
  <c r="H16" i="4"/>
  <c r="H17" i="4"/>
  <c r="H18" i="4"/>
  <c r="H19" i="4"/>
  <c r="H21" i="4"/>
  <c r="H23" i="4"/>
  <c r="I9" i="4"/>
  <c r="I12" i="4"/>
  <c r="I13" i="4"/>
  <c r="I14" i="4"/>
  <c r="I16" i="4"/>
  <c r="I17" i="4"/>
  <c r="I18" i="4"/>
  <c r="I19" i="4"/>
  <c r="I21" i="4"/>
  <c r="I23" i="4"/>
  <c r="I24" i="4"/>
  <c r="J9" i="4"/>
  <c r="J12" i="4"/>
  <c r="J13" i="4"/>
  <c r="J14" i="4"/>
  <c r="J16" i="4"/>
  <c r="J17" i="4"/>
  <c r="J18" i="4"/>
  <c r="J19" i="4"/>
  <c r="J21" i="4"/>
  <c r="J23" i="4"/>
  <c r="K9" i="4"/>
  <c r="K24" i="4" s="1"/>
  <c r="K12" i="4"/>
  <c r="K13" i="4"/>
  <c r="K14" i="4"/>
  <c r="K16" i="4"/>
  <c r="K17" i="4"/>
  <c r="K18" i="4"/>
  <c r="K19" i="4"/>
  <c r="K21" i="4"/>
  <c r="K23" i="4"/>
  <c r="L9" i="4"/>
  <c r="L12" i="4"/>
  <c r="L13" i="4"/>
  <c r="L14" i="4"/>
  <c r="L16" i="4"/>
  <c r="L17" i="4"/>
  <c r="L18" i="4"/>
  <c r="L19" i="4"/>
  <c r="L21" i="4"/>
  <c r="L23" i="4"/>
  <c r="M9" i="4"/>
  <c r="M12" i="4"/>
  <c r="M13" i="4"/>
  <c r="M14" i="4"/>
  <c r="M17" i="4"/>
  <c r="M23" i="4"/>
  <c r="N12" i="4"/>
  <c r="N24" i="4" s="1"/>
  <c r="N13" i="4"/>
  <c r="N14" i="4"/>
  <c r="N17" i="4"/>
  <c r="N23" i="4"/>
  <c r="E9" i="4"/>
  <c r="E24" i="4" s="1"/>
  <c r="E12" i="4"/>
  <c r="E13" i="4"/>
  <c r="E14" i="4"/>
  <c r="E16" i="4"/>
  <c r="E17" i="4"/>
  <c r="E18" i="4"/>
  <c r="E19" i="4"/>
  <c r="E21" i="4"/>
  <c r="E23" i="4"/>
  <c r="M134" i="4"/>
  <c r="L134" i="4"/>
  <c r="K134" i="4"/>
  <c r="K150" i="4" s="1"/>
  <c r="J134" i="4"/>
  <c r="I134" i="4"/>
  <c r="H134" i="4"/>
  <c r="G134" i="4"/>
  <c r="F134" i="4"/>
  <c r="E134" i="4"/>
  <c r="E150" i="4" s="1"/>
  <c r="M93" i="4"/>
  <c r="M108" i="4" s="1"/>
  <c r="L93" i="4"/>
  <c r="J93" i="4"/>
  <c r="H93" i="4"/>
  <c r="M73" i="4"/>
  <c r="L73" i="4"/>
  <c r="L87" i="4" s="1"/>
  <c r="K73" i="4"/>
  <c r="K87" i="4" s="1"/>
  <c r="J73" i="4"/>
  <c r="I73" i="4"/>
  <c r="H73" i="4"/>
  <c r="G73" i="4"/>
  <c r="F73" i="4"/>
  <c r="F87" i="4" s="1"/>
  <c r="E73" i="4"/>
  <c r="E87" i="4" s="1"/>
  <c r="M52" i="4"/>
  <c r="L52" i="4"/>
  <c r="K52" i="4"/>
  <c r="J52" i="4"/>
  <c r="I52" i="4"/>
  <c r="I67" i="4" s="1"/>
  <c r="H52" i="4"/>
  <c r="G52" i="4"/>
  <c r="F52" i="4"/>
  <c r="E52" i="4"/>
  <c r="M32" i="4"/>
  <c r="L32" i="4"/>
  <c r="K32" i="4"/>
  <c r="J32" i="4"/>
  <c r="I32" i="4"/>
  <c r="H32" i="4"/>
  <c r="G32" i="4"/>
  <c r="F32" i="4"/>
  <c r="E32" i="4"/>
  <c r="E515" i="3"/>
  <c r="F515" i="3"/>
  <c r="G515" i="3"/>
  <c r="D515" i="3"/>
  <c r="G514" i="3"/>
  <c r="E514" i="3"/>
  <c r="E512" i="3"/>
  <c r="F512" i="3"/>
  <c r="F513" i="3" s="1"/>
  <c r="G512" i="3"/>
  <c r="D512" i="3"/>
  <c r="D513" i="3"/>
  <c r="D511" i="3"/>
  <c r="F511" i="3"/>
  <c r="G511" i="3"/>
  <c r="L25" i="7" s="1"/>
  <c r="H24" i="7"/>
  <c r="F220" i="3"/>
  <c r="G220" i="3"/>
  <c r="H16" i="7" s="1"/>
  <c r="F219" i="3"/>
  <c r="G219" i="3"/>
  <c r="H21" i="7" s="1"/>
  <c r="F218" i="3"/>
  <c r="E432" i="3"/>
  <c r="E482" i="3"/>
  <c r="E43" i="3"/>
  <c r="E62" i="3"/>
  <c r="G432" i="3"/>
  <c r="G482" i="3"/>
  <c r="G612" i="3"/>
  <c r="M16" i="7"/>
  <c r="G566" i="3"/>
  <c r="G396" i="3"/>
  <c r="J15" i="7"/>
  <c r="L24" i="7"/>
  <c r="M25" i="7"/>
  <c r="G558" i="3"/>
  <c r="L15" i="7" s="1"/>
  <c r="E473" i="3"/>
  <c r="D476" i="3"/>
  <c r="E612" i="3"/>
  <c r="E616" i="3"/>
  <c r="E604" i="3"/>
  <c r="M25" i="6" s="1"/>
  <c r="L26" i="6"/>
  <c r="M26" i="6"/>
  <c r="L6" i="6"/>
  <c r="E558" i="3"/>
  <c r="L15" i="6"/>
  <c r="E566" i="3"/>
  <c r="E518" i="3"/>
  <c r="L24" i="6"/>
  <c r="E568" i="3"/>
  <c r="E511" i="3"/>
  <c r="L25" i="6"/>
  <c r="D518" i="3"/>
  <c r="G590" i="3"/>
  <c r="F590" i="3"/>
  <c r="E590" i="3"/>
  <c r="D590" i="3"/>
  <c r="G582" i="3"/>
  <c r="F582" i="3"/>
  <c r="E582" i="3"/>
  <c r="D582" i="3"/>
  <c r="G218" i="3"/>
  <c r="G490" i="3"/>
  <c r="G491" i="3"/>
  <c r="G501" i="3"/>
  <c r="E490" i="3"/>
  <c r="K25" i="6" s="1"/>
  <c r="E491" i="3"/>
  <c r="E501" i="3"/>
  <c r="G33" i="3"/>
  <c r="F486" i="3"/>
  <c r="K32" i="7"/>
  <c r="E320" i="3"/>
  <c r="I13" i="6"/>
  <c r="K13" i="6"/>
  <c r="F12" i="6"/>
  <c r="D395" i="3"/>
  <c r="J12" i="6"/>
  <c r="O31" i="6"/>
  <c r="E30" i="6"/>
  <c r="G30" i="6"/>
  <c r="E250" i="3"/>
  <c r="H30" i="6" s="1"/>
  <c r="I30" i="6"/>
  <c r="J30" i="6"/>
  <c r="L30" i="6"/>
  <c r="D30" i="6"/>
  <c r="E29" i="6"/>
  <c r="E112" i="3"/>
  <c r="F29" i="6"/>
  <c r="G29" i="6"/>
  <c r="H29" i="6"/>
  <c r="O29" i="6" s="1"/>
  <c r="P29" i="6" s="1"/>
  <c r="E305" i="3"/>
  <c r="E306" i="3"/>
  <c r="E387" i="3"/>
  <c r="J29" i="6"/>
  <c r="E538" i="3"/>
  <c r="L29" i="7"/>
  <c r="E603" i="3"/>
  <c r="M29" i="6" s="1"/>
  <c r="E724" i="3"/>
  <c r="N29" i="6"/>
  <c r="D29" i="6"/>
  <c r="O28" i="6"/>
  <c r="D28" i="6"/>
  <c r="O27" i="6"/>
  <c r="D27" i="6"/>
  <c r="P27" i="6"/>
  <c r="E26" i="6"/>
  <c r="F26" i="6"/>
  <c r="G26" i="6"/>
  <c r="J26" i="6"/>
  <c r="D26" i="6"/>
  <c r="E67" i="3"/>
  <c r="E70" i="3"/>
  <c r="E25" i="6"/>
  <c r="E79" i="3"/>
  <c r="F25" i="6"/>
  <c r="G25" i="6"/>
  <c r="H25" i="6"/>
  <c r="E293" i="3"/>
  <c r="E382" i="3"/>
  <c r="J25" i="6" s="1"/>
  <c r="E684" i="3"/>
  <c r="E730" i="3"/>
  <c r="N25" i="6" s="1"/>
  <c r="E731" i="3"/>
  <c r="D25" i="6"/>
  <c r="E24" i="6"/>
  <c r="E165" i="3"/>
  <c r="G24" i="6"/>
  <c r="E278" i="3"/>
  <c r="I24" i="6" s="1"/>
  <c r="O24" i="6" s="1"/>
  <c r="P24" i="6" s="1"/>
  <c r="K24" i="6"/>
  <c r="N24" i="6"/>
  <c r="D24" i="6"/>
  <c r="E56" i="3"/>
  <c r="E23" i="6"/>
  <c r="E84" i="3"/>
  <c r="E127" i="3"/>
  <c r="G23" i="6"/>
  <c r="H23" i="6"/>
  <c r="E571" i="3"/>
  <c r="L23" i="6" s="1"/>
  <c r="E619" i="3"/>
  <c r="M23" i="6" s="1"/>
  <c r="N23" i="6"/>
  <c r="D23" i="6"/>
  <c r="E77" i="3"/>
  <c r="F22" i="6"/>
  <c r="O22" i="6" s="1"/>
  <c r="P22" i="6" s="1"/>
  <c r="H22" i="6"/>
  <c r="K22" i="6"/>
  <c r="E637" i="3"/>
  <c r="M22" i="6"/>
  <c r="D22" i="6"/>
  <c r="E147" i="3"/>
  <c r="F21" i="6" s="1"/>
  <c r="E86" i="3"/>
  <c r="E310" i="3"/>
  <c r="I21" i="6"/>
  <c r="E348" i="3"/>
  <c r="E412" i="3"/>
  <c r="E349" i="3"/>
  <c r="E350" i="3" s="1"/>
  <c r="K21" i="6"/>
  <c r="M21" i="6"/>
  <c r="E649" i="3"/>
  <c r="E650" i="3" s="1"/>
  <c r="E692" i="3"/>
  <c r="E693" i="3" s="1"/>
  <c r="N21" i="6"/>
  <c r="D21" i="6"/>
  <c r="G20" i="6"/>
  <c r="H20" i="6"/>
  <c r="I20" i="6"/>
  <c r="J20" i="6"/>
  <c r="K20" i="6"/>
  <c r="E677" i="3"/>
  <c r="N20" i="6"/>
  <c r="D20" i="6"/>
  <c r="E33" i="3"/>
  <c r="E114" i="3"/>
  <c r="E186" i="3"/>
  <c r="G19" i="6"/>
  <c r="E246" i="3"/>
  <c r="H19" i="6"/>
  <c r="E380" i="3"/>
  <c r="J19" i="6" s="1"/>
  <c r="E455" i="3"/>
  <c r="K19" i="6"/>
  <c r="E540" i="3"/>
  <c r="E563" i="3"/>
  <c r="E608" i="3"/>
  <c r="M19" i="6" s="1"/>
  <c r="N19" i="6"/>
  <c r="D19" i="6"/>
  <c r="O18" i="6"/>
  <c r="P18" i="6" s="1"/>
  <c r="D18" i="6"/>
  <c r="E34" i="3"/>
  <c r="E60" i="3"/>
  <c r="E69" i="3"/>
  <c r="E118" i="3"/>
  <c r="F17" i="6" s="1"/>
  <c r="E302" i="3"/>
  <c r="E379" i="3"/>
  <c r="E371" i="3"/>
  <c r="E497" i="3"/>
  <c r="K17" i="6"/>
  <c r="E601" i="3"/>
  <c r="M17" i="6"/>
  <c r="D17" i="6"/>
  <c r="E41" i="3"/>
  <c r="E63" i="3"/>
  <c r="E16" i="6"/>
  <c r="E87" i="3"/>
  <c r="E141" i="3"/>
  <c r="E148" i="3"/>
  <c r="E83" i="3"/>
  <c r="E311" i="3"/>
  <c r="I16" i="6"/>
  <c r="E413" i="3"/>
  <c r="J16" i="6"/>
  <c r="E479" i="3"/>
  <c r="E694" i="3"/>
  <c r="E712" i="3"/>
  <c r="E729" i="3"/>
  <c r="D16" i="6"/>
  <c r="E80" i="3"/>
  <c r="E90" i="3"/>
  <c r="E133" i="3"/>
  <c r="E196" i="3"/>
  <c r="G15" i="6"/>
  <c r="E252" i="3"/>
  <c r="H15" i="6" s="1"/>
  <c r="I15" i="6"/>
  <c r="E396" i="3"/>
  <c r="J15" i="6" s="1"/>
  <c r="M15" i="6"/>
  <c r="D699" i="3"/>
  <c r="D731" i="3"/>
  <c r="D15" i="6"/>
  <c r="F14" i="6"/>
  <c r="G14" i="6"/>
  <c r="H14" i="6"/>
  <c r="O14" i="6" s="1"/>
  <c r="P14" i="6" s="1"/>
  <c r="I14" i="6"/>
  <c r="J14" i="6"/>
  <c r="E498" i="3"/>
  <c r="K14" i="6"/>
  <c r="L14" i="6"/>
  <c r="M14" i="6"/>
  <c r="D14" i="6"/>
  <c r="E42" i="3"/>
  <c r="E13" i="6"/>
  <c r="E81" i="3"/>
  <c r="F13" i="6"/>
  <c r="G13" i="6"/>
  <c r="H13" i="6"/>
  <c r="J13" i="6"/>
  <c r="L13" i="6"/>
  <c r="M13" i="6"/>
  <c r="D13" i="6"/>
  <c r="E12" i="6"/>
  <c r="O12" i="6" s="1"/>
  <c r="P12" i="6" s="1"/>
  <c r="H12" i="6"/>
  <c r="I12" i="6"/>
  <c r="E481" i="3"/>
  <c r="E431" i="3"/>
  <c r="E553" i="3"/>
  <c r="L12" i="6"/>
  <c r="M12" i="6"/>
  <c r="N12" i="6"/>
  <c r="D12" i="6"/>
  <c r="E35" i="3"/>
  <c r="E38" i="3"/>
  <c r="E138" i="3"/>
  <c r="E300" i="3"/>
  <c r="E301" i="3"/>
  <c r="E333" i="3"/>
  <c r="E334" i="3"/>
  <c r="E367" i="3"/>
  <c r="E368" i="3"/>
  <c r="J11" i="6" s="1"/>
  <c r="E369" i="3"/>
  <c r="D369" i="3" s="1"/>
  <c r="E370" i="3"/>
  <c r="E381" i="3"/>
  <c r="E488" i="3"/>
  <c r="E493" i="3"/>
  <c r="E494" i="3"/>
  <c r="E495" i="3"/>
  <c r="E496" i="3"/>
  <c r="E478" i="3"/>
  <c r="E542" i="3"/>
  <c r="E550" i="3"/>
  <c r="E562" i="3"/>
  <c r="E565" i="3"/>
  <c r="E597" i="3"/>
  <c r="E598" i="3"/>
  <c r="E599" i="3"/>
  <c r="E605" i="3"/>
  <c r="E611" i="3"/>
  <c r="M11" i="6" s="1"/>
  <c r="E706" i="3"/>
  <c r="E707" i="3"/>
  <c r="E708" i="3"/>
  <c r="E709" i="3"/>
  <c r="E710" i="3"/>
  <c r="E711" i="3"/>
  <c r="D11" i="6"/>
  <c r="E363" i="3"/>
  <c r="D363" i="3"/>
  <c r="E593" i="3"/>
  <c r="M10" i="6"/>
  <c r="E703" i="3"/>
  <c r="N10" i="6" s="1"/>
  <c r="E688" i="3"/>
  <c r="D688" i="3"/>
  <c r="D10" i="6"/>
  <c r="E40" i="3"/>
  <c r="E9" i="6" s="1"/>
  <c r="F9" i="6"/>
  <c r="H9" i="6"/>
  <c r="J9" i="6"/>
  <c r="D487" i="3"/>
  <c r="K9" i="6"/>
  <c r="F564" i="3"/>
  <c r="D609" i="3"/>
  <c r="M9" i="6" s="1"/>
  <c r="E648" i="3"/>
  <c r="N9" i="6"/>
  <c r="D9" i="6"/>
  <c r="G8" i="6"/>
  <c r="E251" i="3"/>
  <c r="H8" i="6" s="1"/>
  <c r="K8" i="6"/>
  <c r="E559" i="3"/>
  <c r="L8" i="6" s="1"/>
  <c r="O8" i="6" s="1"/>
  <c r="P8" i="6" s="1"/>
  <c r="N8" i="6"/>
  <c r="D8" i="6"/>
  <c r="E36" i="3"/>
  <c r="D57" i="3"/>
  <c r="E61" i="3"/>
  <c r="E7" i="6" s="1"/>
  <c r="D78" i="3"/>
  <c r="D88" i="3"/>
  <c r="D129" i="3"/>
  <c r="D149" i="3"/>
  <c r="G7" i="6"/>
  <c r="H7" i="6"/>
  <c r="E294" i="3"/>
  <c r="E414" i="3"/>
  <c r="E351" i="3"/>
  <c r="E572" i="3"/>
  <c r="L7" i="6"/>
  <c r="E614" i="3"/>
  <c r="M7" i="6" s="1"/>
  <c r="E620" i="3"/>
  <c r="E727" i="3"/>
  <c r="D7" i="6"/>
  <c r="E6" i="6"/>
  <c r="D115" i="3"/>
  <c r="F6" i="6" s="1"/>
  <c r="E85" i="3"/>
  <c r="D85" i="3"/>
  <c r="E117" i="3"/>
  <c r="D117" i="3" s="1"/>
  <c r="G6" i="6"/>
  <c r="H6" i="6"/>
  <c r="E309" i="3"/>
  <c r="I6" i="6" s="1"/>
  <c r="J6" i="6"/>
  <c r="D429" i="3"/>
  <c r="K6" i="6"/>
  <c r="M6" i="6"/>
  <c r="E685" i="3"/>
  <c r="D685" i="3" s="1"/>
  <c r="N6" i="6" s="1"/>
  <c r="D6" i="6"/>
  <c r="E5" i="6"/>
  <c r="F5" i="6"/>
  <c r="G5" i="6"/>
  <c r="H5" i="6"/>
  <c r="I5" i="6"/>
  <c r="J5" i="6"/>
  <c r="K5" i="6"/>
  <c r="L5" i="6"/>
  <c r="M5" i="6"/>
  <c r="N5" i="6"/>
  <c r="D5" i="6"/>
  <c r="G601" i="3"/>
  <c r="M17" i="7"/>
  <c r="G320" i="3"/>
  <c r="I13" i="7"/>
  <c r="F13" i="7"/>
  <c r="G475" i="3"/>
  <c r="G498" i="3"/>
  <c r="G36" i="3"/>
  <c r="G60" i="3"/>
  <c r="G69" i="3"/>
  <c r="E17" i="7" s="1"/>
  <c r="O17" i="7" s="1"/>
  <c r="P17" i="7" s="1"/>
  <c r="G8" i="7"/>
  <c r="O8" i="7" s="1"/>
  <c r="P8" i="7" s="1"/>
  <c r="G251" i="3"/>
  <c r="H8" i="7" s="1"/>
  <c r="I8" i="7"/>
  <c r="G559" i="3"/>
  <c r="L8" i="7"/>
  <c r="D8" i="7"/>
  <c r="G127" i="3"/>
  <c r="G149" i="3"/>
  <c r="G7" i="7"/>
  <c r="G257" i="3"/>
  <c r="H7" i="7"/>
  <c r="G293" i="3"/>
  <c r="F294" i="3" s="1"/>
  <c r="G414" i="3"/>
  <c r="J7" i="7" s="1"/>
  <c r="G572" i="3"/>
  <c r="L7" i="7"/>
  <c r="G614" i="3"/>
  <c r="G620" i="3"/>
  <c r="G727" i="3"/>
  <c r="G712" i="3"/>
  <c r="G720" i="3" s="1"/>
  <c r="D7" i="7"/>
  <c r="E6" i="7"/>
  <c r="F85" i="3"/>
  <c r="F6" i="7" s="1"/>
  <c r="F117" i="3"/>
  <c r="G6" i="7"/>
  <c r="H6" i="7"/>
  <c r="I6" i="7"/>
  <c r="J6" i="7"/>
  <c r="F429" i="3"/>
  <c r="K6" i="7" s="1"/>
  <c r="M6" i="7"/>
  <c r="F685" i="3"/>
  <c r="N6" i="7"/>
  <c r="D6" i="7"/>
  <c r="G40" i="3"/>
  <c r="J9" i="7"/>
  <c r="F487" i="3"/>
  <c r="K9" i="7"/>
  <c r="D564" i="3"/>
  <c r="F609" i="3"/>
  <c r="M9" i="7" s="1"/>
  <c r="G648" i="3"/>
  <c r="N9" i="7" s="1"/>
  <c r="D9" i="7"/>
  <c r="E10" i="7"/>
  <c r="O10" i="7" s="1"/>
  <c r="P10" i="7" s="1"/>
  <c r="G363" i="3"/>
  <c r="G593" i="3"/>
  <c r="M10" i="7"/>
  <c r="G703" i="3"/>
  <c r="N10" i="7" s="1"/>
  <c r="D10" i="7"/>
  <c r="G35" i="3"/>
  <c r="E11" i="7" s="1"/>
  <c r="G38" i="3"/>
  <c r="F39" i="3"/>
  <c r="G248" i="3"/>
  <c r="G300" i="3"/>
  <c r="G301" i="3"/>
  <c r="G333" i="3"/>
  <c r="G334" i="3"/>
  <c r="G367" i="3"/>
  <c r="G368" i="3"/>
  <c r="G369" i="3"/>
  <c r="G370" i="3"/>
  <c r="J11" i="7" s="1"/>
  <c r="G381" i="3"/>
  <c r="G393" i="3"/>
  <c r="G478" i="3"/>
  <c r="G480" i="3"/>
  <c r="G488" i="3"/>
  <c r="G493" i="3"/>
  <c r="K11" i="7" s="1"/>
  <c r="G494" i="3"/>
  <c r="G495" i="3"/>
  <c r="G496" i="3"/>
  <c r="G542" i="3"/>
  <c r="G548" i="3"/>
  <c r="G550" i="3"/>
  <c r="G562" i="3"/>
  <c r="L11" i="7" s="1"/>
  <c r="G574" i="3"/>
  <c r="G565" i="3"/>
  <c r="G597" i="3"/>
  <c r="G598" i="3"/>
  <c r="G599" i="3"/>
  <c r="M11" i="7" s="1"/>
  <c r="G605" i="3"/>
  <c r="G611" i="3"/>
  <c r="G622" i="3"/>
  <c r="G706" i="3"/>
  <c r="G707" i="3"/>
  <c r="G708" i="3"/>
  <c r="G709" i="3"/>
  <c r="G710" i="3"/>
  <c r="G711" i="3"/>
  <c r="D11" i="7"/>
  <c r="E12" i="7"/>
  <c r="F12" i="7"/>
  <c r="H12" i="7"/>
  <c r="I12" i="7"/>
  <c r="G395" i="3"/>
  <c r="J12" i="7"/>
  <c r="G481" i="3"/>
  <c r="G431" i="3"/>
  <c r="K12" i="7"/>
  <c r="G553" i="3"/>
  <c r="L12" i="7" s="1"/>
  <c r="M12" i="7"/>
  <c r="G696" i="3"/>
  <c r="N12" i="7" s="1"/>
  <c r="D12" i="7"/>
  <c r="F42" i="3"/>
  <c r="E13" i="7" s="1"/>
  <c r="O13" i="7" s="1"/>
  <c r="P13" i="7" s="1"/>
  <c r="G13" i="7"/>
  <c r="M13" i="7"/>
  <c r="D13" i="7"/>
  <c r="E14" i="7"/>
  <c r="G14" i="7"/>
  <c r="H14" i="7"/>
  <c r="I14" i="7"/>
  <c r="J14" i="7"/>
  <c r="L14" i="7"/>
  <c r="M14" i="7"/>
  <c r="D14" i="7"/>
  <c r="G43" i="3"/>
  <c r="G62" i="3"/>
  <c r="G90" i="3"/>
  <c r="G133" i="3"/>
  <c r="F15" i="7" s="1"/>
  <c r="G196" i="3"/>
  <c r="G15" i="7" s="1"/>
  <c r="G252" i="3"/>
  <c r="H15" i="7" s="1"/>
  <c r="M15" i="7"/>
  <c r="F699" i="3"/>
  <c r="F731" i="3"/>
  <c r="D15" i="7"/>
  <c r="G41" i="3"/>
  <c r="E16" i="7" s="1"/>
  <c r="G63" i="3"/>
  <c r="G87" i="3"/>
  <c r="G148" i="3"/>
  <c r="I16" i="7"/>
  <c r="G413" i="3"/>
  <c r="J16" i="7" s="1"/>
  <c r="G463" i="3"/>
  <c r="G479" i="3"/>
  <c r="G694" i="3"/>
  <c r="G729" i="3"/>
  <c r="D16" i="7"/>
  <c r="G34" i="3"/>
  <c r="G17" i="7"/>
  <c r="G302" i="3"/>
  <c r="G371" i="3"/>
  <c r="G497" i="3"/>
  <c r="L17" i="7"/>
  <c r="D17" i="7"/>
  <c r="E18" i="7"/>
  <c r="F18" i="7"/>
  <c r="G18" i="7"/>
  <c r="H18" i="7"/>
  <c r="I18" i="7"/>
  <c r="J18" i="7"/>
  <c r="K18" i="7"/>
  <c r="L18" i="7"/>
  <c r="M18" i="7"/>
  <c r="N18" i="7"/>
  <c r="O18" i="7"/>
  <c r="P18" i="7" s="1"/>
  <c r="D18" i="7"/>
  <c r="F19" i="7"/>
  <c r="G19" i="7"/>
  <c r="G246" i="3"/>
  <c r="H19" i="7"/>
  <c r="I19" i="7"/>
  <c r="G380" i="3"/>
  <c r="G455" i="3"/>
  <c r="K19" i="7" s="1"/>
  <c r="G540" i="3"/>
  <c r="L19" i="7"/>
  <c r="G608" i="3"/>
  <c r="M19" i="7" s="1"/>
  <c r="D19" i="7"/>
  <c r="F20" i="7"/>
  <c r="G20" i="7"/>
  <c r="I20" i="7"/>
  <c r="J20" i="7"/>
  <c r="K20" i="7"/>
  <c r="L20" i="7"/>
  <c r="N20" i="7"/>
  <c r="D20" i="7"/>
  <c r="G86" i="3"/>
  <c r="F21" i="7" s="1"/>
  <c r="G147" i="3"/>
  <c r="G412" i="3"/>
  <c r="J21" i="7" s="1"/>
  <c r="G461" i="3"/>
  <c r="K21" i="7" s="1"/>
  <c r="M21" i="7"/>
  <c r="G649" i="3"/>
  <c r="N21" i="7" s="1"/>
  <c r="G692" i="3"/>
  <c r="G693" i="3" s="1"/>
  <c r="D21" i="7"/>
  <c r="F22" i="7"/>
  <c r="G256" i="3"/>
  <c r="H22" i="7"/>
  <c r="K22" i="7"/>
  <c r="G637" i="3"/>
  <c r="M22" i="7" s="1"/>
  <c r="D22" i="7"/>
  <c r="G474" i="3"/>
  <c r="K23" i="7" s="1"/>
  <c r="G571" i="3"/>
  <c r="L23" i="7"/>
  <c r="G619" i="3"/>
  <c r="M23" i="7" s="1"/>
  <c r="N23" i="7"/>
  <c r="D23" i="7"/>
  <c r="E24" i="7"/>
  <c r="F24" i="7"/>
  <c r="G24" i="7"/>
  <c r="I24" i="7"/>
  <c r="J24" i="7"/>
  <c r="D24" i="7"/>
  <c r="G67" i="3"/>
  <c r="G70" i="3"/>
  <c r="F25" i="7"/>
  <c r="G25" i="7"/>
  <c r="G258" i="3"/>
  <c r="G382" i="3"/>
  <c r="J25" i="7" s="1"/>
  <c r="G730" i="3"/>
  <c r="G731" i="3"/>
  <c r="N25" i="7"/>
  <c r="D25" i="7"/>
  <c r="E26" i="7"/>
  <c r="F26" i="7"/>
  <c r="G26" i="7"/>
  <c r="H26" i="7"/>
  <c r="I26" i="7"/>
  <c r="J26" i="7"/>
  <c r="K26" i="7"/>
  <c r="L26" i="7"/>
  <c r="M26" i="7"/>
  <c r="N26" i="7"/>
  <c r="D26" i="7"/>
  <c r="O27" i="7"/>
  <c r="D27" i="7"/>
  <c r="E28" i="7"/>
  <c r="F28" i="7"/>
  <c r="O28" i="7"/>
  <c r="P28" i="7" s="1"/>
  <c r="G28" i="7"/>
  <c r="H28" i="7"/>
  <c r="I28" i="7"/>
  <c r="J28" i="7"/>
  <c r="K28" i="7"/>
  <c r="L28" i="7"/>
  <c r="M28" i="7"/>
  <c r="N28" i="7"/>
  <c r="D28" i="7"/>
  <c r="G112" i="3"/>
  <c r="F29" i="7"/>
  <c r="G305" i="3"/>
  <c r="I29" i="7" s="1"/>
  <c r="G388" i="3"/>
  <c r="J29" i="7" s="1"/>
  <c r="G603" i="3"/>
  <c r="M29" i="7"/>
  <c r="G724" i="3"/>
  <c r="N29" i="7"/>
  <c r="D29" i="7"/>
  <c r="F30" i="7"/>
  <c r="H30" i="7"/>
  <c r="I30" i="7"/>
  <c r="L30" i="7"/>
  <c r="M30" i="7"/>
  <c r="D30" i="7"/>
  <c r="D31" i="7"/>
  <c r="E5" i="7"/>
  <c r="F5" i="7"/>
  <c r="G5" i="7"/>
  <c r="O5" i="7" s="1"/>
  <c r="P5" i="7" s="1"/>
  <c r="H5" i="7"/>
  <c r="I5" i="7"/>
  <c r="J5" i="7"/>
  <c r="K5" i="7"/>
  <c r="L5" i="7"/>
  <c r="M5" i="7"/>
  <c r="N5" i="7"/>
  <c r="D5" i="7"/>
  <c r="D32" i="7"/>
  <c r="E735" i="3"/>
  <c r="F735" i="3"/>
  <c r="G735" i="3"/>
  <c r="D735" i="3"/>
  <c r="E732" i="3"/>
  <c r="F732" i="3"/>
  <c r="G732" i="3"/>
  <c r="D732" i="3"/>
  <c r="E733" i="3"/>
  <c r="F733" i="3"/>
  <c r="G733" i="3"/>
  <c r="D733" i="3"/>
  <c r="E736" i="3"/>
  <c r="F736" i="3"/>
  <c r="G736" i="3"/>
  <c r="D736" i="3"/>
  <c r="F729" i="3"/>
  <c r="D729" i="3"/>
  <c r="G728" i="3"/>
  <c r="F728" i="3"/>
  <c r="E728" i="3"/>
  <c r="D728" i="3"/>
  <c r="E734" i="3"/>
  <c r="F734" i="3"/>
  <c r="G734" i="3"/>
  <c r="D734" i="3"/>
  <c r="F727" i="3"/>
  <c r="D727" i="3"/>
  <c r="G697" i="3"/>
  <c r="F697" i="3"/>
  <c r="E696" i="3"/>
  <c r="E697" i="3"/>
  <c r="D697" i="3"/>
  <c r="G506" i="3"/>
  <c r="E506" i="3"/>
  <c r="E505" i="3"/>
  <c r="F505" i="3"/>
  <c r="G505" i="3"/>
  <c r="D505" i="3"/>
  <c r="E504" i="3"/>
  <c r="F504" i="3"/>
  <c r="G504" i="3"/>
  <c r="D504" i="3"/>
  <c r="E503" i="3"/>
  <c r="F503" i="3"/>
  <c r="G503" i="3"/>
  <c r="D503" i="3"/>
  <c r="E502" i="3"/>
  <c r="F502" i="3"/>
  <c r="G502" i="3"/>
  <c r="D502" i="3"/>
  <c r="F501" i="3"/>
  <c r="D501" i="3"/>
  <c r="E500" i="3"/>
  <c r="F500" i="3"/>
  <c r="G500" i="3"/>
  <c r="D500" i="3"/>
  <c r="F498" i="3"/>
  <c r="E499" i="3"/>
  <c r="F499" i="3"/>
  <c r="G499" i="3"/>
  <c r="D499" i="3"/>
  <c r="D498" i="3"/>
  <c r="F334" i="3"/>
  <c r="D334" i="3"/>
  <c r="F333" i="3"/>
  <c r="D333" i="3"/>
  <c r="G332" i="3"/>
  <c r="F332" i="3"/>
  <c r="E332" i="3"/>
  <c r="D332" i="3"/>
  <c r="G331" i="3"/>
  <c r="F331" i="3"/>
  <c r="E331" i="3"/>
  <c r="D331" i="3"/>
  <c r="F272" i="3"/>
  <c r="F260" i="3"/>
  <c r="F258" i="3"/>
  <c r="F257" i="3"/>
  <c r="D257" i="3"/>
  <c r="F256" i="3"/>
  <c r="F133" i="3"/>
  <c r="D133" i="3"/>
  <c r="G197" i="3"/>
  <c r="F197" i="3"/>
  <c r="E197" i="3"/>
  <c r="D197" i="3"/>
  <c r="F196" i="3"/>
  <c r="D196" i="3"/>
  <c r="G186" i="3"/>
  <c r="F186" i="3" s="1"/>
  <c r="F70" i="3"/>
  <c r="D70" i="3"/>
  <c r="E65" i="3"/>
  <c r="F65" i="3"/>
  <c r="G65" i="3"/>
  <c r="D65" i="3"/>
  <c r="E64" i="3"/>
  <c r="F64" i="3"/>
  <c r="G64" i="3"/>
  <c r="D64" i="3"/>
  <c r="E66" i="3"/>
  <c r="F66" i="3"/>
  <c r="G66" i="3"/>
  <c r="D66" i="3"/>
  <c r="F67" i="3"/>
  <c r="D67" i="3"/>
  <c r="F63" i="3"/>
  <c r="D63" i="3"/>
  <c r="F62" i="3"/>
  <c r="D62" i="3"/>
  <c r="F61" i="3"/>
  <c r="G61" i="3"/>
  <c r="D61" i="3"/>
  <c r="F60" i="3"/>
  <c r="F69" i="3"/>
  <c r="D60" i="3"/>
  <c r="D69" i="3"/>
  <c r="L190" i="4"/>
  <c r="J190" i="4"/>
  <c r="H190" i="4"/>
  <c r="F190" i="4"/>
  <c r="L168" i="4"/>
  <c r="J168" i="4"/>
  <c r="H168" i="4"/>
  <c r="F168" i="4"/>
  <c r="J133" i="4"/>
  <c r="J138" i="4"/>
  <c r="J139" i="4"/>
  <c r="J140" i="4"/>
  <c r="J142" i="4"/>
  <c r="J143" i="4"/>
  <c r="J144" i="4"/>
  <c r="J145" i="4"/>
  <c r="J146" i="4"/>
  <c r="J147" i="4"/>
  <c r="J150" i="4"/>
  <c r="J159" i="4"/>
  <c r="J162" i="4"/>
  <c r="J164" i="4"/>
  <c r="J165" i="4"/>
  <c r="J171" i="4" s="1"/>
  <c r="J166" i="4"/>
  <c r="J167" i="4"/>
  <c r="J169" i="4"/>
  <c r="J170" i="4"/>
  <c r="J181" i="4"/>
  <c r="J182" i="4"/>
  <c r="J192" i="4" s="1"/>
  <c r="J184" i="4"/>
  <c r="J186" i="4"/>
  <c r="J187" i="4"/>
  <c r="J189" i="4"/>
  <c r="J191" i="4"/>
  <c r="J116" i="4"/>
  <c r="J127" i="4" s="1"/>
  <c r="J117" i="4"/>
  <c r="J118" i="4"/>
  <c r="J119" i="4"/>
  <c r="J120" i="4"/>
  <c r="J121" i="4"/>
  <c r="J122" i="4"/>
  <c r="J126" i="4"/>
  <c r="J30" i="4"/>
  <c r="J36" i="4"/>
  <c r="J39" i="4"/>
  <c r="J40" i="4"/>
  <c r="J46" i="4" s="1"/>
  <c r="J41" i="4"/>
  <c r="J42" i="4"/>
  <c r="J45" i="4"/>
  <c r="J55" i="4"/>
  <c r="J57" i="4"/>
  <c r="J59" i="4"/>
  <c r="J60" i="4"/>
  <c r="J61" i="4"/>
  <c r="J62" i="4"/>
  <c r="J65" i="4"/>
  <c r="J66" i="4"/>
  <c r="J75" i="4"/>
  <c r="J77" i="4"/>
  <c r="J87" i="4" s="1"/>
  <c r="J78" i="4"/>
  <c r="J79" i="4"/>
  <c r="J80" i="4"/>
  <c r="J81" i="4"/>
  <c r="J82" i="4"/>
  <c r="J84" i="4"/>
  <c r="J86" i="4"/>
  <c r="J96" i="4"/>
  <c r="J97" i="4"/>
  <c r="J98" i="4"/>
  <c r="J100" i="4"/>
  <c r="J102" i="4"/>
  <c r="J103" i="4"/>
  <c r="J105" i="4"/>
  <c r="J200" i="4"/>
  <c r="J214" i="4"/>
  <c r="J202" i="4"/>
  <c r="J203" i="4"/>
  <c r="J205" i="4"/>
  <c r="J206" i="4"/>
  <c r="J207" i="4"/>
  <c r="J208" i="4"/>
  <c r="J209" i="4"/>
  <c r="J212" i="4"/>
  <c r="L133" i="4"/>
  <c r="L138" i="4"/>
  <c r="L139" i="4"/>
  <c r="L140" i="4"/>
  <c r="L142" i="4"/>
  <c r="L143" i="4"/>
  <c r="L144" i="4"/>
  <c r="L145" i="4"/>
  <c r="L146" i="4"/>
  <c r="L147" i="4"/>
  <c r="L159" i="4"/>
  <c r="L162" i="4"/>
  <c r="L164" i="4"/>
  <c r="L165" i="4"/>
  <c r="L166" i="4"/>
  <c r="L167" i="4"/>
  <c r="L169" i="4"/>
  <c r="L170" i="4"/>
  <c r="L181" i="4"/>
  <c r="L182" i="4"/>
  <c r="L184" i="4"/>
  <c r="L192" i="4" s="1"/>
  <c r="L186" i="4"/>
  <c r="L187" i="4"/>
  <c r="L189" i="4"/>
  <c r="L191" i="4"/>
  <c r="L116" i="4"/>
  <c r="L127" i="4" s="1"/>
  <c r="L117" i="4"/>
  <c r="L118" i="4"/>
  <c r="L119" i="4"/>
  <c r="L120" i="4"/>
  <c r="L121" i="4"/>
  <c r="L122" i="4"/>
  <c r="L126" i="4"/>
  <c r="L30" i="4"/>
  <c r="L36" i="4"/>
  <c r="L39" i="4"/>
  <c r="L40" i="4"/>
  <c r="L41" i="4"/>
  <c r="L42" i="4"/>
  <c r="L45" i="4"/>
  <c r="L55" i="4"/>
  <c r="L57" i="4"/>
  <c r="L59" i="4"/>
  <c r="L67" i="4" s="1"/>
  <c r="L60" i="4"/>
  <c r="L61" i="4"/>
  <c r="L62" i="4"/>
  <c r="L65" i="4"/>
  <c r="L66" i="4"/>
  <c r="L75" i="4"/>
  <c r="L77" i="4"/>
  <c r="L78" i="4"/>
  <c r="L79" i="4"/>
  <c r="L80" i="4"/>
  <c r="L81" i="4"/>
  <c r="L82" i="4"/>
  <c r="L84" i="4"/>
  <c r="L86" i="4"/>
  <c r="L96" i="4"/>
  <c r="L97" i="4"/>
  <c r="L98" i="4"/>
  <c r="L108" i="4" s="1"/>
  <c r="L100" i="4"/>
  <c r="L102" i="4"/>
  <c r="L103" i="4"/>
  <c r="L105" i="4"/>
  <c r="L200" i="4"/>
  <c r="L214" i="4" s="1"/>
  <c r="L202" i="4"/>
  <c r="L203" i="4"/>
  <c r="L205" i="4"/>
  <c r="L206" i="4"/>
  <c r="L207" i="4"/>
  <c r="L208" i="4"/>
  <c r="L209" i="4"/>
  <c r="L212" i="4"/>
  <c r="I114" i="4"/>
  <c r="I116" i="4"/>
  <c r="I117" i="4"/>
  <c r="I118" i="4"/>
  <c r="I119" i="4"/>
  <c r="I120" i="4"/>
  <c r="I121" i="4"/>
  <c r="I122" i="4"/>
  <c r="I126" i="4"/>
  <c r="I29" i="4"/>
  <c r="I30" i="4"/>
  <c r="I36" i="4"/>
  <c r="I37" i="4"/>
  <c r="I46" i="4" s="1"/>
  <c r="I38" i="4"/>
  <c r="I39" i="4"/>
  <c r="I40" i="4"/>
  <c r="I41" i="4"/>
  <c r="I42" i="4"/>
  <c r="I45" i="4"/>
  <c r="I55" i="4"/>
  <c r="I57" i="4"/>
  <c r="I58" i="4"/>
  <c r="I60" i="4"/>
  <c r="I61" i="4"/>
  <c r="I62" i="4"/>
  <c r="I65" i="4"/>
  <c r="I66" i="4"/>
  <c r="I77" i="4"/>
  <c r="I78" i="4"/>
  <c r="I87" i="4"/>
  <c r="I79" i="4"/>
  <c r="I80" i="4"/>
  <c r="I81" i="4"/>
  <c r="I82" i="4"/>
  <c r="I84" i="4"/>
  <c r="I86" i="4"/>
  <c r="I96" i="4"/>
  <c r="I97" i="4"/>
  <c r="I98" i="4"/>
  <c r="I99" i="4"/>
  <c r="I102" i="4"/>
  <c r="I103" i="4"/>
  <c r="I105" i="4"/>
  <c r="I133" i="4"/>
  <c r="I138" i="4"/>
  <c r="I139" i="4"/>
  <c r="I140" i="4"/>
  <c r="I142" i="4"/>
  <c r="I143" i="4"/>
  <c r="I144" i="4"/>
  <c r="I145" i="4"/>
  <c r="I146" i="4"/>
  <c r="I147" i="4"/>
  <c r="I159" i="4"/>
  <c r="I162" i="4"/>
  <c r="I171" i="4" s="1"/>
  <c r="I164" i="4"/>
  <c r="I165" i="4"/>
  <c r="I166" i="4"/>
  <c r="I167" i="4"/>
  <c r="I168" i="4"/>
  <c r="I170" i="4"/>
  <c r="I181" i="4"/>
  <c r="I182" i="4"/>
  <c r="I184" i="4"/>
  <c r="I186" i="4"/>
  <c r="I192" i="4" s="1"/>
  <c r="I187" i="4"/>
  <c r="I190" i="4"/>
  <c r="I191" i="4"/>
  <c r="I198" i="4"/>
  <c r="I202" i="4"/>
  <c r="I203" i="4"/>
  <c r="I205" i="4"/>
  <c r="I206" i="4"/>
  <c r="I207" i="4"/>
  <c r="I208" i="4"/>
  <c r="I209" i="4"/>
  <c r="I214" i="4"/>
  <c r="K114" i="4"/>
  <c r="K116" i="4"/>
  <c r="K117" i="4"/>
  <c r="K118" i="4"/>
  <c r="K127" i="4" s="1"/>
  <c r="K119" i="4"/>
  <c r="K120" i="4"/>
  <c r="K121" i="4"/>
  <c r="K122" i="4"/>
  <c r="K126" i="4"/>
  <c r="K29" i="4"/>
  <c r="K46" i="4" s="1"/>
  <c r="K30" i="4"/>
  <c r="K36" i="4"/>
  <c r="K37" i="4"/>
  <c r="K39" i="4"/>
  <c r="K40" i="4"/>
  <c r="K41" i="4"/>
  <c r="K42" i="4"/>
  <c r="K45" i="4"/>
  <c r="K53" i="4"/>
  <c r="K55" i="4"/>
  <c r="K57" i="4"/>
  <c r="K58" i="4"/>
  <c r="K60" i="4"/>
  <c r="K61" i="4"/>
  <c r="K62" i="4"/>
  <c r="K65" i="4"/>
  <c r="K66" i="4"/>
  <c r="K75" i="4"/>
  <c r="K77" i="4"/>
  <c r="K78" i="4"/>
  <c r="K79" i="4"/>
  <c r="K80" i="4"/>
  <c r="K81" i="4"/>
  <c r="K82" i="4"/>
  <c r="K84" i="4"/>
  <c r="K86" i="4"/>
  <c r="K94" i="4"/>
  <c r="K108" i="4" s="1"/>
  <c r="K96" i="4"/>
  <c r="K97" i="4"/>
  <c r="K98" i="4"/>
  <c r="K99" i="4"/>
  <c r="K102" i="4"/>
  <c r="K103" i="4"/>
  <c r="K105" i="4"/>
  <c r="K133" i="4"/>
  <c r="K135" i="4"/>
  <c r="K138" i="4"/>
  <c r="K139" i="4"/>
  <c r="K140" i="4"/>
  <c r="K142" i="4"/>
  <c r="K143" i="4"/>
  <c r="K144" i="4"/>
  <c r="K145" i="4"/>
  <c r="K146" i="4"/>
  <c r="K147" i="4"/>
  <c r="K159" i="4"/>
  <c r="K162" i="4"/>
  <c r="K164" i="4"/>
  <c r="K165" i="4"/>
  <c r="K166" i="4"/>
  <c r="K171" i="4" s="1"/>
  <c r="K167" i="4"/>
  <c r="K168" i="4"/>
  <c r="K169" i="4"/>
  <c r="K170" i="4"/>
  <c r="K181" i="4"/>
  <c r="K192" i="4" s="1"/>
  <c r="K182" i="4"/>
  <c r="K184" i="4"/>
  <c r="K186" i="4"/>
  <c r="K187" i="4"/>
  <c r="K190" i="4"/>
  <c r="K191" i="4"/>
  <c r="K198" i="4"/>
  <c r="K202" i="4"/>
  <c r="K203" i="4"/>
  <c r="K205" i="4"/>
  <c r="K206" i="4"/>
  <c r="K214" i="4" s="1"/>
  <c r="K207" i="4"/>
  <c r="K208" i="4"/>
  <c r="K209" i="4"/>
  <c r="K212" i="4"/>
  <c r="H133" i="4"/>
  <c r="H150" i="4" s="1"/>
  <c r="H138" i="4"/>
  <c r="H139" i="4"/>
  <c r="H140" i="4"/>
  <c r="H142" i="4"/>
  <c r="H143" i="4"/>
  <c r="H144" i="4"/>
  <c r="H145" i="4"/>
  <c r="H146" i="4"/>
  <c r="H147" i="4"/>
  <c r="H159" i="4"/>
  <c r="H171" i="4" s="1"/>
  <c r="H162" i="4"/>
  <c r="H164" i="4"/>
  <c r="H165" i="4"/>
  <c r="H166" i="4"/>
  <c r="H167" i="4"/>
  <c r="H169" i="4"/>
  <c r="H170" i="4"/>
  <c r="H181" i="4"/>
  <c r="H182" i="4"/>
  <c r="H184" i="4"/>
  <c r="H186" i="4"/>
  <c r="H187" i="4"/>
  <c r="H189" i="4"/>
  <c r="H191" i="4"/>
  <c r="H116" i="4"/>
  <c r="H117" i="4"/>
  <c r="H118" i="4"/>
  <c r="H127" i="4" s="1"/>
  <c r="H119" i="4"/>
  <c r="H120" i="4"/>
  <c r="H121" i="4"/>
  <c r="H122" i="4"/>
  <c r="H126" i="4"/>
  <c r="H30" i="4"/>
  <c r="H46" i="4" s="1"/>
  <c r="H36" i="4"/>
  <c r="H39" i="4"/>
  <c r="H40" i="4"/>
  <c r="H41" i="4"/>
  <c r="H42" i="4"/>
  <c r="H45" i="4"/>
  <c r="H55" i="4"/>
  <c r="H57" i="4"/>
  <c r="H59" i="4"/>
  <c r="H60" i="4"/>
  <c r="H61" i="4"/>
  <c r="H62" i="4"/>
  <c r="H64" i="4"/>
  <c r="H65" i="4"/>
  <c r="H66" i="4"/>
  <c r="H75" i="4"/>
  <c r="H77" i="4"/>
  <c r="H78" i="4"/>
  <c r="H79" i="4"/>
  <c r="H80" i="4"/>
  <c r="H81" i="4"/>
  <c r="H82" i="4"/>
  <c r="H87" i="4" s="1"/>
  <c r="H84" i="4"/>
  <c r="H86" i="4"/>
  <c r="H96" i="4"/>
  <c r="H97" i="4"/>
  <c r="H108" i="4" s="1"/>
  <c r="H98" i="4"/>
  <c r="H100" i="4"/>
  <c r="H102" i="4"/>
  <c r="H103" i="4"/>
  <c r="H105" i="4"/>
  <c r="H200" i="4"/>
  <c r="H214" i="4"/>
  <c r="H202" i="4"/>
  <c r="H203" i="4"/>
  <c r="H205" i="4"/>
  <c r="H206" i="4"/>
  <c r="H207" i="4"/>
  <c r="H208" i="4"/>
  <c r="H209" i="4"/>
  <c r="H212" i="4"/>
  <c r="G114" i="4"/>
  <c r="G127" i="4" s="1"/>
  <c r="G116" i="4"/>
  <c r="G117" i="4"/>
  <c r="G118" i="4"/>
  <c r="G119" i="4"/>
  <c r="G120" i="4"/>
  <c r="G121" i="4"/>
  <c r="G122" i="4"/>
  <c r="G126" i="4"/>
  <c r="G29" i="4"/>
  <c r="G30" i="4"/>
  <c r="G36" i="4"/>
  <c r="G37" i="4"/>
  <c r="G39" i="4"/>
  <c r="G40" i="4"/>
  <c r="G41" i="4"/>
  <c r="G42" i="4"/>
  <c r="G45" i="4"/>
  <c r="G53" i="4"/>
  <c r="G67" i="4"/>
  <c r="G55" i="4"/>
  <c r="G57" i="4"/>
  <c r="G58" i="4"/>
  <c r="G60" i="4"/>
  <c r="G61" i="4"/>
  <c r="G62" i="4"/>
  <c r="G65" i="4"/>
  <c r="G66" i="4"/>
  <c r="G77" i="4"/>
  <c r="G78" i="4"/>
  <c r="G79" i="4"/>
  <c r="G80" i="4"/>
  <c r="G87" i="4" s="1"/>
  <c r="G81" i="4"/>
  <c r="G82" i="4"/>
  <c r="G84" i="4"/>
  <c r="G86" i="4"/>
  <c r="G94" i="4"/>
  <c r="G96" i="4"/>
  <c r="G97" i="4"/>
  <c r="G98" i="4"/>
  <c r="G99" i="4"/>
  <c r="G102" i="4"/>
  <c r="G103" i="4"/>
  <c r="G105" i="4"/>
  <c r="G133" i="4"/>
  <c r="G150" i="4" s="1"/>
  <c r="G135" i="4"/>
  <c r="G138" i="4"/>
  <c r="G139" i="4"/>
  <c r="G140" i="4"/>
  <c r="G142" i="4"/>
  <c r="G143" i="4"/>
  <c r="G144" i="4"/>
  <c r="G145" i="4"/>
  <c r="G146" i="4"/>
  <c r="G147" i="4"/>
  <c r="G159" i="4"/>
  <c r="G162" i="4"/>
  <c r="G164" i="4"/>
  <c r="G165" i="4"/>
  <c r="G166" i="4"/>
  <c r="G167" i="4"/>
  <c r="G168" i="4"/>
  <c r="G170" i="4"/>
  <c r="G171" i="4"/>
  <c r="G181" i="4"/>
  <c r="G182" i="4"/>
  <c r="G184" i="4"/>
  <c r="G186" i="4"/>
  <c r="G187" i="4"/>
  <c r="G190" i="4"/>
  <c r="G191" i="4"/>
  <c r="G198" i="4"/>
  <c r="G202" i="4"/>
  <c r="G214" i="4" s="1"/>
  <c r="G203" i="4"/>
  <c r="G205" i="4"/>
  <c r="G206" i="4"/>
  <c r="G207" i="4"/>
  <c r="G208" i="4"/>
  <c r="G209" i="4"/>
  <c r="F133" i="4"/>
  <c r="F138" i="4"/>
  <c r="F139" i="4"/>
  <c r="F140" i="4"/>
  <c r="F142" i="4"/>
  <c r="F143" i="4"/>
  <c r="F144" i="4"/>
  <c r="F145" i="4"/>
  <c r="F146" i="4"/>
  <c r="F147" i="4"/>
  <c r="F150" i="4"/>
  <c r="F159" i="4"/>
  <c r="F162" i="4"/>
  <c r="F164" i="4"/>
  <c r="F165" i="4"/>
  <c r="F166" i="4"/>
  <c r="F171" i="4" s="1"/>
  <c r="F167" i="4"/>
  <c r="F169" i="4"/>
  <c r="F170" i="4"/>
  <c r="F181" i="4"/>
  <c r="F182" i="4"/>
  <c r="F184" i="4"/>
  <c r="F186" i="4"/>
  <c r="F187" i="4"/>
  <c r="F189" i="4"/>
  <c r="F191" i="4"/>
  <c r="F116" i="4"/>
  <c r="F127" i="4" s="1"/>
  <c r="F117" i="4"/>
  <c r="F118" i="4"/>
  <c r="F119" i="4"/>
  <c r="F120" i="4"/>
  <c r="F121" i="4"/>
  <c r="F122" i="4"/>
  <c r="F126" i="4"/>
  <c r="F30" i="4"/>
  <c r="F36" i="4"/>
  <c r="F39" i="4"/>
  <c r="F40" i="4"/>
  <c r="F41" i="4"/>
  <c r="F42" i="4"/>
  <c r="F45" i="4"/>
  <c r="F55" i="4"/>
  <c r="F57" i="4"/>
  <c r="F59" i="4"/>
  <c r="F60" i="4"/>
  <c r="F61" i="4"/>
  <c r="F62" i="4"/>
  <c r="F64" i="4"/>
  <c r="F65" i="4"/>
  <c r="F66" i="4"/>
  <c r="F67" i="4"/>
  <c r="F75" i="4"/>
  <c r="F77" i="4"/>
  <c r="F78" i="4"/>
  <c r="F79" i="4"/>
  <c r="F80" i="4"/>
  <c r="F81" i="4"/>
  <c r="F82" i="4"/>
  <c r="F84" i="4"/>
  <c r="F86" i="4"/>
  <c r="F96" i="4"/>
  <c r="F108" i="4" s="1"/>
  <c r="F97" i="4"/>
  <c r="F98" i="4"/>
  <c r="F99" i="4"/>
  <c r="F100" i="4"/>
  <c r="F102" i="4"/>
  <c r="F103" i="4"/>
  <c r="F105" i="4"/>
  <c r="F200" i="4"/>
  <c r="F202" i="4"/>
  <c r="F203" i="4"/>
  <c r="F205" i="4"/>
  <c r="F206" i="4"/>
  <c r="F207" i="4"/>
  <c r="F208" i="4"/>
  <c r="F209" i="4"/>
  <c r="F212" i="4"/>
  <c r="E114" i="4"/>
  <c r="E127" i="4"/>
  <c r="E116" i="4"/>
  <c r="E117" i="4"/>
  <c r="E118" i="4"/>
  <c r="E119" i="4"/>
  <c r="E120" i="4"/>
  <c r="E121" i="4"/>
  <c r="E122" i="4"/>
  <c r="E126" i="4"/>
  <c r="E29" i="4"/>
  <c r="E30" i="4"/>
  <c r="E36" i="4"/>
  <c r="E37" i="4"/>
  <c r="E38" i="4"/>
  <c r="E39" i="4"/>
  <c r="E40" i="4"/>
  <c r="E41" i="4"/>
  <c r="E42" i="4"/>
  <c r="E45" i="4"/>
  <c r="E53" i="4"/>
  <c r="E55" i="4"/>
  <c r="E57" i="4"/>
  <c r="E67" i="4" s="1"/>
  <c r="E58" i="4"/>
  <c r="E60" i="4"/>
  <c r="E61" i="4"/>
  <c r="E62" i="4"/>
  <c r="E65" i="4"/>
  <c r="E66" i="4"/>
  <c r="E77" i="4"/>
  <c r="E78" i="4"/>
  <c r="E79" i="4"/>
  <c r="E80" i="4"/>
  <c r="E81" i="4"/>
  <c r="E82" i="4"/>
  <c r="E84" i="4"/>
  <c r="E86" i="4"/>
  <c r="E94" i="4"/>
  <c r="E96" i="4"/>
  <c r="E97" i="4"/>
  <c r="E98" i="4"/>
  <c r="E99" i="4"/>
  <c r="E102" i="4"/>
  <c r="E103" i="4"/>
  <c r="E105" i="4"/>
  <c r="E108" i="4"/>
  <c r="E133" i="4"/>
  <c r="E135" i="4"/>
  <c r="E138" i="4"/>
  <c r="E139" i="4"/>
  <c r="E140" i="4"/>
  <c r="E142" i="4"/>
  <c r="E143" i="4"/>
  <c r="E144" i="4"/>
  <c r="E145" i="4"/>
  <c r="E146" i="4"/>
  <c r="E147" i="4"/>
  <c r="E159" i="4"/>
  <c r="E171" i="4" s="1"/>
  <c r="E162" i="4"/>
  <c r="E163" i="4"/>
  <c r="E164" i="4"/>
  <c r="E165" i="4"/>
  <c r="E166" i="4"/>
  <c r="E167" i="4"/>
  <c r="E168" i="4"/>
  <c r="E170" i="4"/>
  <c r="E181" i="4"/>
  <c r="E182" i="4"/>
  <c r="E184" i="4"/>
  <c r="E186" i="4"/>
  <c r="E187" i="4"/>
  <c r="E190" i="4"/>
  <c r="E191" i="4"/>
  <c r="E192" i="4"/>
  <c r="E198" i="4"/>
  <c r="E202" i="4"/>
  <c r="E203" i="4"/>
  <c r="E205" i="4"/>
  <c r="E206" i="4"/>
  <c r="E207" i="4"/>
  <c r="E208" i="4"/>
  <c r="E209" i="4"/>
  <c r="N209" i="4"/>
  <c r="M209" i="4"/>
  <c r="M198" i="4"/>
  <c r="M202" i="4"/>
  <c r="M214" i="4" s="1"/>
  <c r="M203" i="4"/>
  <c r="M205" i="4"/>
  <c r="M206" i="4"/>
  <c r="M212" i="4"/>
  <c r="M114" i="4"/>
  <c r="M116" i="4"/>
  <c r="M117" i="4"/>
  <c r="M118" i="4"/>
  <c r="M119" i="4"/>
  <c r="M120" i="4"/>
  <c r="M29" i="4"/>
  <c r="M30" i="4"/>
  <c r="M36" i="4"/>
  <c r="M39" i="4"/>
  <c r="M42" i="4"/>
  <c r="M53" i="4"/>
  <c r="M55" i="4"/>
  <c r="M57" i="4"/>
  <c r="M58" i="4"/>
  <c r="M60" i="4"/>
  <c r="M63" i="4"/>
  <c r="M75" i="4"/>
  <c r="M77" i="4"/>
  <c r="M87" i="4" s="1"/>
  <c r="M78" i="4"/>
  <c r="M79" i="4"/>
  <c r="M80" i="4"/>
  <c r="M84" i="4"/>
  <c r="M94" i="4"/>
  <c r="M96" i="4"/>
  <c r="M97" i="4"/>
  <c r="M98" i="4"/>
  <c r="M99" i="4"/>
  <c r="M133" i="4"/>
  <c r="M135" i="4"/>
  <c r="M138" i="4"/>
  <c r="M139" i="4"/>
  <c r="M150" i="4" s="1"/>
  <c r="M140" i="4"/>
  <c r="M142" i="4"/>
  <c r="M145" i="4"/>
  <c r="M146" i="4"/>
  <c r="M159" i="4"/>
  <c r="M171" i="4" s="1"/>
  <c r="M162" i="4"/>
  <c r="M164" i="4"/>
  <c r="M167" i="4"/>
  <c r="M169" i="4"/>
  <c r="M181" i="4"/>
  <c r="M192" i="4" s="1"/>
  <c r="M182" i="4"/>
  <c r="M184" i="4"/>
  <c r="N200" i="4"/>
  <c r="N202" i="4"/>
  <c r="N214" i="4" s="1"/>
  <c r="N203" i="4"/>
  <c r="N205" i="4"/>
  <c r="N206" i="4"/>
  <c r="N212" i="4"/>
  <c r="N116" i="4"/>
  <c r="N117" i="4"/>
  <c r="N118" i="4"/>
  <c r="N120" i="4"/>
  <c r="N30" i="4"/>
  <c r="N36" i="4"/>
  <c r="N39" i="4"/>
  <c r="N42" i="4"/>
  <c r="N55" i="4"/>
  <c r="N57" i="4"/>
  <c r="N60" i="4"/>
  <c r="N67" i="4" s="1"/>
  <c r="N75" i="4"/>
  <c r="N77" i="4"/>
  <c r="N78" i="4"/>
  <c r="N79" i="4"/>
  <c r="N87" i="4" s="1"/>
  <c r="N80" i="4"/>
  <c r="N84" i="4"/>
  <c r="N96" i="4"/>
  <c r="N97" i="4"/>
  <c r="N98" i="4"/>
  <c r="N100" i="4"/>
  <c r="N108" i="4" s="1"/>
  <c r="N133" i="4"/>
  <c r="N138" i="4"/>
  <c r="N139" i="4"/>
  <c r="N140" i="4"/>
  <c r="N142" i="4"/>
  <c r="N145" i="4"/>
  <c r="N146" i="4"/>
  <c r="N159" i="4"/>
  <c r="N171" i="4" s="1"/>
  <c r="N162" i="4"/>
  <c r="N164" i="4"/>
  <c r="N167" i="4"/>
  <c r="N169" i="4"/>
  <c r="N181" i="4"/>
  <c r="N192" i="4" s="1"/>
  <c r="N182" i="4"/>
  <c r="N184" i="4"/>
  <c r="N189" i="4"/>
  <c r="F708" i="3"/>
  <c r="F641" i="3"/>
  <c r="E641" i="3"/>
  <c r="D641" i="3"/>
  <c r="F639" i="3"/>
  <c r="E639" i="3"/>
  <c r="D639" i="3"/>
  <c r="G638" i="3"/>
  <c r="F638" i="3"/>
  <c r="E638" i="3"/>
  <c r="D638" i="3"/>
  <c r="F637" i="3"/>
  <c r="D637" i="3"/>
  <c r="F494" i="3"/>
  <c r="D494" i="3"/>
  <c r="L213" i="4"/>
  <c r="K213" i="4"/>
  <c r="J213" i="4"/>
  <c r="I213" i="4"/>
  <c r="H213" i="4"/>
  <c r="G213" i="4"/>
  <c r="F213" i="4"/>
  <c r="E213" i="4"/>
  <c r="G94" i="3"/>
  <c r="F94" i="3"/>
  <c r="E94" i="3"/>
  <c r="D94" i="3"/>
  <c r="D486" i="3"/>
  <c r="K33" i="6" s="1"/>
  <c r="F497" i="3"/>
  <c r="D497" i="3"/>
  <c r="F496" i="3"/>
  <c r="D496" i="3"/>
  <c r="F495" i="3"/>
  <c r="D495" i="3"/>
  <c r="F493" i="3"/>
  <c r="D493" i="3"/>
  <c r="F491" i="3"/>
  <c r="F490" i="3"/>
  <c r="F488" i="3"/>
  <c r="G487" i="3"/>
  <c r="E487" i="3"/>
  <c r="G486" i="3"/>
  <c r="E486" i="3"/>
  <c r="G483" i="3"/>
  <c r="F483" i="3"/>
  <c r="E483" i="3"/>
  <c r="D483" i="3"/>
  <c r="F482" i="3"/>
  <c r="D482" i="3"/>
  <c r="F481" i="3"/>
  <c r="D481" i="3"/>
  <c r="F480" i="3"/>
  <c r="F479" i="3"/>
  <c r="D479" i="3"/>
  <c r="F478" i="3"/>
  <c r="D478" i="3"/>
  <c r="G477" i="3"/>
  <c r="F477" i="3"/>
  <c r="E477" i="3"/>
  <c r="D477" i="3"/>
  <c r="G476" i="3"/>
  <c r="F476" i="3"/>
  <c r="E476" i="3"/>
  <c r="F475" i="3"/>
  <c r="F474" i="3"/>
  <c r="F467" i="3"/>
  <c r="D467" i="3"/>
  <c r="F466" i="3"/>
  <c r="D466" i="3"/>
  <c r="F465" i="3"/>
  <c r="D465" i="3"/>
  <c r="G464" i="3"/>
  <c r="F464" i="3"/>
  <c r="E464" i="3"/>
  <c r="D464" i="3"/>
  <c r="F463" i="3"/>
  <c r="F461" i="3"/>
  <c r="F462" i="3"/>
  <c r="E462" i="3"/>
  <c r="D462" i="3"/>
  <c r="G460" i="3"/>
  <c r="F460" i="3" s="1"/>
  <c r="G459" i="3"/>
  <c r="F459" i="3"/>
  <c r="D459" i="3"/>
  <c r="G458" i="3"/>
  <c r="F458" i="3"/>
  <c r="G457" i="3"/>
  <c r="F457" i="3"/>
  <c r="D457" i="3"/>
  <c r="F455" i="3"/>
  <c r="D455" i="3"/>
  <c r="G451" i="3"/>
  <c r="D447" i="3"/>
  <c r="F446" i="3"/>
  <c r="G439" i="3"/>
  <c r="F439" i="3"/>
  <c r="E439" i="3"/>
  <c r="D439" i="3"/>
  <c r="G436" i="3"/>
  <c r="F436" i="3"/>
  <c r="E436" i="3"/>
  <c r="D436" i="3"/>
  <c r="G435" i="3"/>
  <c r="F435" i="3"/>
  <c r="E435" i="3"/>
  <c r="D435" i="3"/>
  <c r="G434" i="3"/>
  <c r="F434" i="3"/>
  <c r="E434" i="3"/>
  <c r="D434" i="3"/>
  <c r="G433" i="3"/>
  <c r="F433" i="3"/>
  <c r="E433" i="3"/>
  <c r="D433" i="3"/>
  <c r="F432" i="3"/>
  <c r="D432" i="3"/>
  <c r="F431" i="3"/>
  <c r="D431" i="3"/>
  <c r="G151" i="3"/>
  <c r="F151" i="3"/>
  <c r="E151" i="3"/>
  <c r="D151" i="3"/>
  <c r="G150" i="3"/>
  <c r="F150" i="3"/>
  <c r="E150" i="3"/>
  <c r="D150" i="3"/>
  <c r="F149" i="3"/>
  <c r="E149" i="3"/>
  <c r="F148" i="3"/>
  <c r="D148" i="3"/>
  <c r="F147" i="3"/>
  <c r="D147" i="3"/>
  <c r="F143" i="3"/>
  <c r="D143" i="3"/>
  <c r="D141" i="3"/>
  <c r="E140" i="3"/>
  <c r="E139" i="3"/>
  <c r="D139" i="3"/>
  <c r="D138" i="3"/>
  <c r="E137" i="3"/>
  <c r="D137" i="3"/>
  <c r="G134" i="3"/>
  <c r="F134" i="3"/>
  <c r="E134" i="3"/>
  <c r="D134" i="3"/>
  <c r="F131" i="3"/>
  <c r="E131" i="3"/>
  <c r="D131" i="3"/>
  <c r="F130" i="3"/>
  <c r="E130" i="3"/>
  <c r="D128" i="3"/>
  <c r="F123" i="3"/>
  <c r="D122" i="3"/>
  <c r="F121" i="3"/>
  <c r="D118" i="3"/>
  <c r="E116" i="3"/>
  <c r="D116" i="3"/>
  <c r="E115" i="3"/>
  <c r="F114" i="3"/>
  <c r="F112" i="3"/>
  <c r="D112" i="3"/>
  <c r="F105" i="3"/>
  <c r="D105" i="3"/>
  <c r="F103" i="3"/>
  <c r="G91" i="3"/>
  <c r="F91" i="3"/>
  <c r="E91" i="3"/>
  <c r="D91" i="3"/>
  <c r="F90" i="3"/>
  <c r="D90" i="3"/>
  <c r="G89" i="3"/>
  <c r="F89" i="3"/>
  <c r="E89" i="3"/>
  <c r="D89" i="3"/>
  <c r="G88" i="3"/>
  <c r="F88" i="3"/>
  <c r="E88" i="3"/>
  <c r="F87" i="3"/>
  <c r="D87" i="3"/>
  <c r="F86" i="3"/>
  <c r="D86" i="3"/>
  <c r="D84" i="3"/>
  <c r="D83" i="3"/>
  <c r="E82" i="3"/>
  <c r="D82" i="3"/>
  <c r="D81" i="3"/>
  <c r="D80" i="3"/>
  <c r="D79" i="3"/>
  <c r="E78" i="3"/>
  <c r="D77" i="3"/>
  <c r="F730" i="3"/>
  <c r="D730" i="3"/>
  <c r="D33" i="6"/>
  <c r="D32" i="6"/>
  <c r="D58" i="3"/>
  <c r="E242" i="3"/>
  <c r="D242" i="3" s="1"/>
  <c r="E395" i="3"/>
  <c r="E555" i="3"/>
  <c r="J32" i="6"/>
  <c r="K32" i="6"/>
  <c r="G699" i="3"/>
  <c r="E699" i="3"/>
  <c r="F696" i="3"/>
  <c r="G568" i="3"/>
  <c r="G557" i="3"/>
  <c r="G563" i="3"/>
  <c r="F563" i="3" s="1"/>
  <c r="D311" i="3"/>
  <c r="D310" i="3"/>
  <c r="D309" i="3"/>
  <c r="E308" i="3"/>
  <c r="D308" i="3"/>
  <c r="E307" i="3"/>
  <c r="D307" i="3"/>
  <c r="D306" i="3"/>
  <c r="G39" i="3"/>
  <c r="F38" i="3"/>
  <c r="D38" i="3"/>
  <c r="G37" i="3"/>
  <c r="F37" i="3"/>
  <c r="E37" i="3"/>
  <c r="D37" i="3"/>
  <c r="F36" i="3"/>
  <c r="D36" i="3"/>
  <c r="F35" i="3"/>
  <c r="D35" i="3"/>
  <c r="F34" i="3"/>
  <c r="D34" i="3"/>
  <c r="D33" i="3"/>
  <c r="F550" i="3"/>
  <c r="D550" i="3"/>
  <c r="F548" i="3"/>
  <c r="F546" i="3"/>
  <c r="D546" i="3"/>
  <c r="F544" i="3"/>
  <c r="D544" i="3"/>
  <c r="F543" i="3"/>
  <c r="D543" i="3"/>
  <c r="F542" i="3"/>
  <c r="D542" i="3"/>
  <c r="D540" i="3"/>
  <c r="F388" i="3"/>
  <c r="G387" i="3"/>
  <c r="F387" i="3"/>
  <c r="G386" i="3"/>
  <c r="F386" i="3"/>
  <c r="D388" i="3"/>
  <c r="D387" i="3"/>
  <c r="E388" i="3"/>
  <c r="E386" i="3"/>
  <c r="D386" i="3"/>
  <c r="G725" i="3"/>
  <c r="F725" i="3"/>
  <c r="F724" i="3"/>
  <c r="G723" i="3"/>
  <c r="F723" i="3"/>
  <c r="G688" i="3"/>
  <c r="F688" i="3"/>
  <c r="E364" i="3"/>
  <c r="D364" i="3" s="1"/>
  <c r="E606" i="3"/>
  <c r="E554" i="3"/>
  <c r="G364" i="3"/>
  <c r="F364" i="3"/>
  <c r="E243" i="3"/>
  <c r="D243" i="3" s="1"/>
  <c r="E695" i="3"/>
  <c r="D695" i="3"/>
  <c r="D694" i="3"/>
  <c r="D692" i="3"/>
  <c r="E689" i="3"/>
  <c r="D689" i="3" s="1"/>
  <c r="E690" i="3"/>
  <c r="D690" i="3" s="1"/>
  <c r="E691" i="3"/>
  <c r="F678" i="3"/>
  <c r="E678" i="3"/>
  <c r="D678" i="3"/>
  <c r="F649" i="3"/>
  <c r="F650" i="3"/>
  <c r="D649" i="3"/>
  <c r="F648" i="3"/>
  <c r="D648" i="3"/>
  <c r="F622" i="3"/>
  <c r="F621" i="3"/>
  <c r="E621" i="3"/>
  <c r="D621" i="3"/>
  <c r="F620" i="3"/>
  <c r="D620" i="3"/>
  <c r="F619" i="3"/>
  <c r="D619" i="3"/>
  <c r="G606" i="3"/>
  <c r="F606" i="3"/>
  <c r="D606" i="3"/>
  <c r="F605" i="3"/>
  <c r="D605" i="3"/>
  <c r="F604" i="3"/>
  <c r="D604" i="3"/>
  <c r="F603" i="3"/>
  <c r="D603" i="3"/>
  <c r="G602" i="3"/>
  <c r="F602" i="3"/>
  <c r="E602" i="3"/>
  <c r="D602" i="3"/>
  <c r="F601" i="3"/>
  <c r="D601" i="3"/>
  <c r="E600" i="3"/>
  <c r="F600" i="3"/>
  <c r="G600" i="3"/>
  <c r="D600" i="3"/>
  <c r="D599" i="3"/>
  <c r="F599" i="3"/>
  <c r="F598" i="3"/>
  <c r="D598" i="3"/>
  <c r="F597" i="3"/>
  <c r="D597" i="3"/>
  <c r="G594" i="3"/>
  <c r="F594" i="3" s="1"/>
  <c r="G595" i="3"/>
  <c r="F595" i="3"/>
  <c r="G596" i="3"/>
  <c r="F596" i="3" s="1"/>
  <c r="E594" i="3"/>
  <c r="D594" i="3" s="1"/>
  <c r="E595" i="3"/>
  <c r="D595" i="3"/>
  <c r="E596" i="3"/>
  <c r="D596" i="3" s="1"/>
  <c r="F593" i="3"/>
  <c r="F575" i="3"/>
  <c r="D575" i="3"/>
  <c r="G573" i="3"/>
  <c r="F573" i="3"/>
  <c r="E573" i="3"/>
  <c r="D573" i="3"/>
  <c r="F572" i="3"/>
  <c r="D572" i="3"/>
  <c r="F571" i="3"/>
  <c r="F405" i="3"/>
  <c r="F404" i="3"/>
  <c r="F403" i="3"/>
  <c r="D405" i="3"/>
  <c r="D404" i="3"/>
  <c r="D403" i="3"/>
  <c r="G397" i="3"/>
  <c r="F397" i="3"/>
  <c r="E397" i="3"/>
  <c r="D397" i="3"/>
  <c r="F396" i="3"/>
  <c r="D396" i="3"/>
  <c r="F395" i="3"/>
  <c r="F393" i="3"/>
  <c r="G383" i="3"/>
  <c r="F383" i="3"/>
  <c r="E383" i="3"/>
  <c r="D383" i="3"/>
  <c r="G385" i="3"/>
  <c r="F385" i="3"/>
  <c r="E385" i="3"/>
  <c r="D385" i="3"/>
  <c r="G384" i="3"/>
  <c r="F384" i="3"/>
  <c r="E384" i="3"/>
  <c r="D384" i="3"/>
  <c r="F382" i="3"/>
  <c r="D382" i="3"/>
  <c r="F381" i="3"/>
  <c r="D381" i="3"/>
  <c r="D380" i="3"/>
  <c r="D374" i="3"/>
  <c r="D373" i="3"/>
  <c r="D372" i="3"/>
  <c r="F371" i="3"/>
  <c r="D371" i="3"/>
  <c r="F370" i="3"/>
  <c r="D370" i="3"/>
  <c r="F369" i="3"/>
  <c r="F368" i="3"/>
  <c r="D368" i="3"/>
  <c r="F367" i="3"/>
  <c r="D367" i="3"/>
  <c r="G366" i="3"/>
  <c r="F366" i="3" s="1"/>
  <c r="G365" i="3"/>
  <c r="F365" i="3"/>
  <c r="F363" i="3"/>
  <c r="E365" i="3"/>
  <c r="D365" i="3" s="1"/>
  <c r="E366" i="3"/>
  <c r="D366" i="3" s="1"/>
  <c r="D348" i="3"/>
  <c r="D349" i="3" s="1"/>
  <c r="D350" i="3" s="1"/>
  <c r="D351" i="3"/>
  <c r="G349" i="3"/>
  <c r="G350" i="3"/>
  <c r="D296" i="3"/>
  <c r="D300" i="3"/>
  <c r="G253" i="3"/>
  <c r="F253" i="3"/>
  <c r="F233" i="3"/>
  <c r="D232" i="3"/>
  <c r="E58" i="3"/>
  <c r="G42" i="3"/>
  <c r="D42" i="3"/>
  <c r="F41" i="3"/>
  <c r="D41" i="3"/>
  <c r="F40" i="3"/>
  <c r="D40" i="3"/>
  <c r="D566" i="3"/>
  <c r="D670" i="3"/>
  <c r="D668" i="3"/>
  <c r="D667" i="3"/>
  <c r="F668" i="3"/>
  <c r="G610" i="3"/>
  <c r="G538" i="3"/>
  <c r="E28" i="6"/>
  <c r="F28" i="6"/>
  <c r="G28" i="6"/>
  <c r="H28" i="6"/>
  <c r="I28" i="6"/>
  <c r="J28" i="6"/>
  <c r="K28" i="6"/>
  <c r="L28" i="6"/>
  <c r="M28" i="6"/>
  <c r="N28" i="6"/>
  <c r="E18" i="6"/>
  <c r="F18" i="6"/>
  <c r="G18" i="6"/>
  <c r="H18" i="6"/>
  <c r="I18" i="6"/>
  <c r="J18" i="6"/>
  <c r="K18" i="6"/>
  <c r="L18" i="6"/>
  <c r="M18" i="6"/>
  <c r="N18" i="6"/>
  <c r="E610" i="3"/>
  <c r="E725" i="3"/>
  <c r="D725" i="3"/>
  <c r="D723" i="3"/>
  <c r="E723" i="3"/>
  <c r="D724" i="3"/>
  <c r="D278" i="3"/>
  <c r="F538" i="3"/>
  <c r="D538" i="3"/>
  <c r="D530" i="3"/>
  <c r="D529" i="3"/>
  <c r="F527" i="3"/>
  <c r="E304" i="3"/>
  <c r="D186" i="3"/>
  <c r="E617" i="3"/>
  <c r="D617" i="3"/>
  <c r="D616" i="3"/>
  <c r="F614" i="3"/>
  <c r="G615" i="3"/>
  <c r="G609" i="3"/>
  <c r="G613" i="3"/>
  <c r="F612" i="3"/>
  <c r="F611" i="3"/>
  <c r="F610" i="3"/>
  <c r="E615" i="3"/>
  <c r="D614" i="3"/>
  <c r="E613" i="3"/>
  <c r="D612" i="3"/>
  <c r="D611" i="3"/>
  <c r="D610" i="3"/>
  <c r="E609" i="3"/>
  <c r="E679" i="3"/>
  <c r="D679" i="3" s="1"/>
  <c r="F680" i="3"/>
  <c r="D677" i="3"/>
  <c r="E680" i="3"/>
  <c r="D680" i="3" s="1"/>
  <c r="D165" i="3"/>
  <c r="G569" i="3"/>
  <c r="E569" i="3"/>
  <c r="F562" i="3"/>
  <c r="G564" i="3"/>
  <c r="F565" i="3"/>
  <c r="F566" i="3"/>
  <c r="G567" i="3"/>
  <c r="F568" i="3"/>
  <c r="D568" i="3"/>
  <c r="E567" i="3"/>
  <c r="D565" i="3"/>
  <c r="E564" i="3"/>
  <c r="D562" i="3"/>
  <c r="F711" i="3"/>
  <c r="D711" i="3"/>
  <c r="F710" i="3"/>
  <c r="D710" i="3"/>
  <c r="F709" i="3"/>
  <c r="D709" i="3"/>
  <c r="D708" i="3"/>
  <c r="F707" i="3"/>
  <c r="D707" i="3"/>
  <c r="F706" i="3"/>
  <c r="D706" i="3"/>
  <c r="G704" i="3"/>
  <c r="F704" i="3"/>
  <c r="G705" i="3"/>
  <c r="E704" i="3"/>
  <c r="E705" i="3"/>
  <c r="D705" i="3"/>
  <c r="G700" i="3"/>
  <c r="F700" i="3"/>
  <c r="E700" i="3"/>
  <c r="D700" i="3"/>
  <c r="G698" i="3"/>
  <c r="F698" i="3"/>
  <c r="E698" i="3"/>
  <c r="D698" i="3"/>
  <c r="G695" i="3"/>
  <c r="F695" i="3"/>
  <c r="F694" i="3"/>
  <c r="F692" i="3"/>
  <c r="F693" i="3"/>
  <c r="D693" i="3"/>
  <c r="G691" i="3"/>
  <c r="F691" i="3" s="1"/>
  <c r="D691" i="3"/>
  <c r="G690" i="3"/>
  <c r="F690" i="3" s="1"/>
  <c r="G689" i="3"/>
  <c r="F689" i="3"/>
  <c r="G623" i="3"/>
  <c r="F623" i="3"/>
  <c r="E623" i="3"/>
  <c r="D623" i="3"/>
  <c r="G621" i="3"/>
  <c r="G575" i="3"/>
  <c r="E575" i="3"/>
  <c r="F574" i="3"/>
  <c r="D571" i="3"/>
  <c r="F559" i="3"/>
  <c r="D559" i="3"/>
  <c r="F558" i="3"/>
  <c r="D558" i="3"/>
  <c r="F557" i="3"/>
  <c r="E557" i="3"/>
  <c r="D557" i="3"/>
  <c r="G556" i="3"/>
  <c r="F556" i="3"/>
  <c r="E556" i="3"/>
  <c r="D556" i="3"/>
  <c r="G555" i="3"/>
  <c r="F554" i="3"/>
  <c r="D554" i="3"/>
  <c r="G554" i="3"/>
  <c r="F553" i="3"/>
  <c r="D553" i="3"/>
  <c r="G416" i="3"/>
  <c r="F416" i="3"/>
  <c r="E416" i="3"/>
  <c r="D416" i="3"/>
  <c r="G415" i="3"/>
  <c r="F415" i="3"/>
  <c r="E415" i="3"/>
  <c r="D415" i="3"/>
  <c r="F414" i="3"/>
  <c r="D414" i="3"/>
  <c r="F413" i="3"/>
  <c r="D413" i="3"/>
  <c r="F412" i="3"/>
  <c r="D412" i="3"/>
  <c r="G353" i="3"/>
  <c r="F353" i="3"/>
  <c r="E353" i="3"/>
  <c r="D353" i="3"/>
  <c r="F210" i="3"/>
  <c r="D210" i="3"/>
  <c r="F206" i="3"/>
  <c r="D206" i="3"/>
  <c r="F205" i="3"/>
  <c r="D205" i="3"/>
  <c r="F204" i="3"/>
  <c r="D204" i="3"/>
  <c r="F203" i="3"/>
  <c r="D203" i="3"/>
  <c r="F202" i="3"/>
  <c r="D202" i="3"/>
  <c r="F201" i="3"/>
  <c r="D201" i="3"/>
  <c r="F248" i="3"/>
  <c r="F246" i="3"/>
  <c r="D246" i="3"/>
  <c r="F245" i="3"/>
  <c r="E245" i="3"/>
  <c r="D245" i="3"/>
  <c r="F244" i="3"/>
  <c r="E244" i="3"/>
  <c r="D244" i="3" s="1"/>
  <c r="F243" i="3"/>
  <c r="F242" i="3"/>
  <c r="G304" i="3"/>
  <c r="F180" i="3"/>
  <c r="F179" i="3"/>
  <c r="F177" i="3"/>
  <c r="G169" i="3"/>
  <c r="F169" i="3"/>
  <c r="E169" i="3"/>
  <c r="D169" i="3"/>
  <c r="D328" i="3"/>
  <c r="D327" i="3"/>
  <c r="D326" i="3"/>
  <c r="F326" i="3"/>
  <c r="F327" i="3"/>
  <c r="F328" i="3"/>
  <c r="F305" i="3"/>
  <c r="D305" i="3"/>
  <c r="F304" i="3"/>
  <c r="D304" i="3"/>
  <c r="G303" i="3"/>
  <c r="F303" i="3"/>
  <c r="E303" i="3"/>
  <c r="D303" i="3"/>
  <c r="F302" i="3"/>
  <c r="D302" i="3"/>
  <c r="F301" i="3"/>
  <c r="D301" i="3"/>
  <c r="F300" i="3"/>
  <c r="G299" i="3"/>
  <c r="E299" i="3"/>
  <c r="F298" i="3"/>
  <c r="F297" i="3"/>
  <c r="E297" i="3"/>
  <c r="D297" i="3"/>
  <c r="D294" i="3"/>
  <c r="F287" i="3"/>
  <c r="F285" i="3"/>
  <c r="D285" i="3"/>
  <c r="G250" i="3"/>
  <c r="E253" i="3"/>
  <c r="D253" i="3"/>
  <c r="F250" i="3"/>
  <c r="D250" i="3"/>
  <c r="E57" i="3"/>
  <c r="D56" i="3"/>
  <c r="F26" i="3"/>
  <c r="F251" i="3"/>
  <c r="D251" i="3"/>
  <c r="F705" i="3"/>
  <c r="D704" i="3"/>
  <c r="F703" i="3"/>
  <c r="D684" i="3"/>
  <c r="F679" i="3"/>
  <c r="F217" i="4"/>
  <c r="F252" i="3"/>
  <c r="D252" i="3"/>
  <c r="F27" i="3"/>
  <c r="D27" i="3"/>
  <c r="D25" i="3"/>
  <c r="H217" i="4"/>
  <c r="J217" i="4"/>
  <c r="E217" i="4"/>
  <c r="G217" i="4"/>
  <c r="I217" i="4"/>
  <c r="L217" i="4"/>
  <c r="K217" i="4"/>
  <c r="F50" i="3"/>
  <c r="D50" i="3"/>
  <c r="F49" i="3"/>
  <c r="D49" i="3"/>
  <c r="F48" i="3"/>
  <c r="D48" i="3"/>
  <c r="F47" i="3"/>
  <c r="D47" i="3"/>
  <c r="D650" i="3"/>
  <c r="F43" i="3"/>
  <c r="D43" i="3"/>
  <c r="E720" i="3"/>
  <c r="F16" i="6"/>
  <c r="J24" i="4"/>
  <c r="E513" i="3"/>
  <c r="L16" i="6"/>
  <c r="L21" i="6"/>
  <c r="H24" i="4"/>
  <c r="I21" i="7"/>
  <c r="O30" i="6"/>
  <c r="P30" i="6" s="1"/>
  <c r="D720" i="3"/>
  <c r="D718" i="3"/>
  <c r="F16" i="7"/>
  <c r="K10" i="7"/>
  <c r="D445" i="3"/>
  <c r="K16" i="6"/>
  <c r="J19" i="7"/>
  <c r="F380" i="3"/>
  <c r="E717" i="3"/>
  <c r="O22" i="7"/>
  <c r="P22" i="7" s="1"/>
  <c r="K16" i="7"/>
  <c r="H25" i="7"/>
  <c r="G715" i="3"/>
  <c r="N7" i="7" s="1"/>
  <c r="E295" i="3"/>
  <c r="I7" i="6"/>
  <c r="G513" i="3"/>
  <c r="L16" i="7" s="1"/>
  <c r="L21" i="7"/>
  <c r="F715" i="3"/>
  <c r="F120" i="3"/>
  <c r="G462" i="3"/>
  <c r="H29" i="7"/>
  <c r="E716" i="3"/>
  <c r="E718" i="3"/>
  <c r="N11" i="6" s="1"/>
  <c r="E19" i="6"/>
  <c r="E33" i="6"/>
  <c r="D593" i="3"/>
  <c r="F33" i="3"/>
  <c r="D608" i="3"/>
  <c r="F284" i="3"/>
  <c r="D177" i="3"/>
  <c r="E159" i="3"/>
  <c r="D230" i="3"/>
  <c r="L6" i="7"/>
  <c r="O6" i="7"/>
  <c r="P6" i="7" s="1"/>
  <c r="G129" i="3"/>
  <c r="F7" i="7"/>
  <c r="G128" i="3"/>
  <c r="F23" i="7" s="1"/>
  <c r="O23" i="7" s="1"/>
  <c r="P23" i="7" s="1"/>
  <c r="F17" i="7"/>
  <c r="K10" i="6"/>
  <c r="I17" i="7"/>
  <c r="E15" i="7"/>
  <c r="I11" i="7"/>
  <c r="J7" i="6"/>
  <c r="E11" i="6"/>
  <c r="K12" i="6"/>
  <c r="J17" i="6"/>
  <c r="I17" i="6"/>
  <c r="L19" i="6"/>
  <c r="K25" i="7"/>
  <c r="M16" i="6"/>
  <c r="K15" i="6"/>
  <c r="L17" i="6"/>
  <c r="E7" i="7"/>
  <c r="H17" i="7"/>
  <c r="K11" i="6"/>
  <c r="K7" i="7"/>
  <c r="K14" i="7"/>
  <c r="O14" i="7" s="1"/>
  <c r="P14" i="7" s="1"/>
  <c r="J17" i="7"/>
  <c r="E474" i="3"/>
  <c r="K23" i="6"/>
  <c r="E475" i="3"/>
  <c r="K7" i="6"/>
  <c r="J10" i="6"/>
  <c r="G298" i="3"/>
  <c r="D563" i="3"/>
  <c r="F540" i="3"/>
  <c r="O32" i="6"/>
  <c r="P32" i="6"/>
  <c r="F128" i="3"/>
  <c r="F129" i="3"/>
  <c r="G130" i="3"/>
  <c r="G131" i="3"/>
  <c r="D474" i="3"/>
  <c r="D475" i="3"/>
  <c r="O33" i="6"/>
  <c r="P33" i="6"/>
  <c r="J10" i="7"/>
  <c r="E21" i="7"/>
  <c r="O9" i="7" l="1"/>
  <c r="P9" i="7" s="1"/>
  <c r="O12" i="7"/>
  <c r="P12" i="7" s="1"/>
  <c r="O11" i="7"/>
  <c r="P11" i="7" s="1"/>
  <c r="N15" i="6"/>
  <c r="O6" i="6"/>
  <c r="P6" i="6" s="1"/>
  <c r="J21" i="6"/>
  <c r="O21" i="6"/>
  <c r="P21" i="6" s="1"/>
  <c r="H67" i="4"/>
  <c r="F714" i="3"/>
  <c r="O5" i="6"/>
  <c r="P5" i="6" s="1"/>
  <c r="E715" i="3"/>
  <c r="N7" i="6" s="1"/>
  <c r="D714" i="3"/>
  <c r="E713" i="3"/>
  <c r="F19" i="6"/>
  <c r="D114" i="3"/>
  <c r="E15" i="6"/>
  <c r="F722" i="3"/>
  <c r="F713" i="3"/>
  <c r="D722" i="3"/>
  <c r="G650" i="3"/>
  <c r="D703" i="3"/>
  <c r="D4" i="3"/>
  <c r="D713" i="3"/>
  <c r="F608" i="3"/>
  <c r="M46" i="4"/>
  <c r="E214" i="4"/>
  <c r="K67" i="4"/>
  <c r="K215" i="4" s="1"/>
  <c r="I127" i="4"/>
  <c r="I215" i="4" s="1"/>
  <c r="J67" i="4"/>
  <c r="O30" i="7"/>
  <c r="P30" i="7" s="1"/>
  <c r="E25" i="7"/>
  <c r="O9" i="6"/>
  <c r="P9" i="6" s="1"/>
  <c r="O13" i="6"/>
  <c r="P13" i="6" s="1"/>
  <c r="P28" i="6"/>
  <c r="I108" i="4"/>
  <c r="G192" i="4"/>
  <c r="G215" i="4" s="1"/>
  <c r="O20" i="6"/>
  <c r="P20" i="6" s="1"/>
  <c r="H11" i="6"/>
  <c r="O11" i="6" s="1"/>
  <c r="P11" i="6" s="1"/>
  <c r="G721" i="3"/>
  <c r="N127" i="4"/>
  <c r="N215" i="4" s="1"/>
  <c r="D721" i="3"/>
  <c r="F718" i="3"/>
  <c r="G722" i="3"/>
  <c r="F295" i="3"/>
  <c r="D715" i="3"/>
  <c r="N46" i="4"/>
  <c r="M127" i="4"/>
  <c r="M215" i="4" s="1"/>
  <c r="E46" i="4"/>
  <c r="F214" i="4"/>
  <c r="L150" i="4"/>
  <c r="O26" i="7"/>
  <c r="P26" i="7" s="1"/>
  <c r="M7" i="7"/>
  <c r="E128" i="3"/>
  <c r="F23" i="6" s="1"/>
  <c r="O23" i="6" s="1"/>
  <c r="P23" i="6" s="1"/>
  <c r="D130" i="3"/>
  <c r="E129" i="3"/>
  <c r="E298" i="3"/>
  <c r="D295" i="3"/>
  <c r="E296" i="3"/>
  <c r="I25" i="6" s="1"/>
  <c r="O25" i="6" s="1"/>
  <c r="P25" i="6" s="1"/>
  <c r="D298" i="3"/>
  <c r="O26" i="6"/>
  <c r="P26" i="6" s="1"/>
  <c r="G108" i="4"/>
  <c r="H192" i="4"/>
  <c r="H215" i="4" s="1"/>
  <c r="G21" i="7"/>
  <c r="O21" i="7" s="1"/>
  <c r="P21" i="7" s="1"/>
  <c r="G159" i="3"/>
  <c r="K15" i="7"/>
  <c r="O15" i="7" s="1"/>
  <c r="P15" i="7" s="1"/>
  <c r="L11" i="6"/>
  <c r="F192" i="4"/>
  <c r="G297" i="3"/>
  <c r="F296" i="3"/>
  <c r="F721" i="3"/>
  <c r="N15" i="7" s="1"/>
  <c r="G295" i="3"/>
  <c r="G296" i="3"/>
  <c r="I25" i="7" s="1"/>
  <c r="O29" i="7"/>
  <c r="P29" i="7" s="1"/>
  <c r="F717" i="3"/>
  <c r="G718" i="3"/>
  <c r="D717" i="3"/>
  <c r="E721" i="3"/>
  <c r="F46" i="4"/>
  <c r="L46" i="4"/>
  <c r="P27" i="7"/>
  <c r="F15" i="6"/>
  <c r="E19" i="7"/>
  <c r="O19" i="7" s="1"/>
  <c r="P19" i="7" s="1"/>
  <c r="E32" i="7"/>
  <c r="O32" i="7" s="1"/>
  <c r="P32" i="7" s="1"/>
  <c r="J108" i="4"/>
  <c r="J215" i="4" s="1"/>
  <c r="L24" i="4"/>
  <c r="L171" i="4"/>
  <c r="L215" i="4" s="1"/>
  <c r="F720" i="3"/>
  <c r="G713" i="3"/>
  <c r="F719" i="3"/>
  <c r="O19" i="6"/>
  <c r="P19" i="6" s="1"/>
  <c r="G716" i="3"/>
  <c r="N11" i="7" s="1"/>
  <c r="O17" i="6"/>
  <c r="P17" i="6" s="1"/>
  <c r="G714" i="3"/>
  <c r="N16" i="7" s="1"/>
  <c r="O16" i="7" s="1"/>
  <c r="P16" i="7" s="1"/>
  <c r="O10" i="6"/>
  <c r="P10" i="6" s="1"/>
  <c r="G294" i="3"/>
  <c r="F716" i="3"/>
  <c r="G717" i="3"/>
  <c r="D716" i="3"/>
  <c r="G719" i="3"/>
  <c r="E714" i="3"/>
  <c r="N16" i="6" s="1"/>
  <c r="O16" i="6" s="1"/>
  <c r="P16" i="6" s="1"/>
  <c r="E722" i="3"/>
  <c r="N150" i="4"/>
  <c r="G46" i="4"/>
  <c r="I150" i="4"/>
  <c r="F7" i="6"/>
  <c r="O7" i="6" s="1"/>
  <c r="P7" i="6" s="1"/>
  <c r="M67" i="4"/>
  <c r="M24" i="4"/>
  <c r="F24" i="4"/>
  <c r="O24" i="7"/>
  <c r="P24" i="7" s="1"/>
  <c r="O20" i="7"/>
  <c r="P20" i="7" s="1"/>
  <c r="J218" i="4" l="1"/>
  <c r="G218" i="4"/>
  <c r="I218" i="4"/>
  <c r="H218" i="4"/>
  <c r="I7" i="7"/>
  <c r="O7" i="7" s="1"/>
  <c r="P7" i="7" s="1"/>
  <c r="F215" i="4"/>
  <c r="E215" i="4"/>
  <c r="O25" i="7"/>
  <c r="P25" i="7" s="1"/>
  <c r="O15" i="6"/>
  <c r="P15" i="6" s="1"/>
  <c r="F218" i="4" l="1"/>
  <c r="D216" i="4"/>
  <c r="C216" i="4"/>
  <c r="E218" i="4"/>
  <c r="J216" i="4" l="1"/>
  <c r="H216" i="4"/>
  <c r="G216" i="4"/>
  <c r="I216" i="4"/>
  <c r="E216" i="4"/>
  <c r="F216" i="4"/>
</calcChain>
</file>

<file path=xl/sharedStrings.xml><?xml version="1.0" encoding="utf-8"?>
<sst xmlns="http://schemas.openxmlformats.org/spreadsheetml/2006/main" count="2016" uniqueCount="565">
  <si>
    <t>сыр</t>
  </si>
  <si>
    <t>завтрак</t>
  </si>
  <si>
    <t>2й завтрак</t>
  </si>
  <si>
    <t>обед</t>
  </si>
  <si>
    <t>полдник</t>
  </si>
  <si>
    <t>6-й день</t>
  </si>
  <si>
    <t>7-й день</t>
  </si>
  <si>
    <t>8-й день</t>
  </si>
  <si>
    <t>9-й день</t>
  </si>
  <si>
    <t>10-й день</t>
  </si>
  <si>
    <t>1-й день</t>
  </si>
  <si>
    <t>2-й день</t>
  </si>
  <si>
    <t>3-й день</t>
  </si>
  <si>
    <t>4-й день</t>
  </si>
  <si>
    <t>5-й день</t>
  </si>
  <si>
    <t>№ п/п</t>
  </si>
  <si>
    <t>Наименование продуктов</t>
  </si>
  <si>
    <t>Ед. изм.</t>
  </si>
  <si>
    <t>Хлеб ржаной</t>
  </si>
  <si>
    <t>гр.</t>
  </si>
  <si>
    <t>Хлеб в/сорт</t>
  </si>
  <si>
    <t>Мука пшеничная</t>
  </si>
  <si>
    <t>Мука картофельная(крахмал)</t>
  </si>
  <si>
    <t>Крупа, бобовые</t>
  </si>
  <si>
    <t>Овощи свеж, зелень</t>
  </si>
  <si>
    <t>Фрукты свежие</t>
  </si>
  <si>
    <t>Фрукты сухие</t>
  </si>
  <si>
    <t>Кондит.изделия</t>
  </si>
  <si>
    <t>Сахар</t>
  </si>
  <si>
    <t>Масло сливочное</t>
  </si>
  <si>
    <t>Масло растительное</t>
  </si>
  <si>
    <t>Чай в/с</t>
  </si>
  <si>
    <t>Мясо, мясопродукты</t>
  </si>
  <si>
    <t>Рыба свеж, сельдь сол</t>
  </si>
  <si>
    <t>Молоко</t>
  </si>
  <si>
    <t>Творог, творожки</t>
  </si>
  <si>
    <t>Сметана</t>
  </si>
  <si>
    <t>Сыр твер., колбасный</t>
  </si>
  <si>
    <t>Яйцо</t>
  </si>
  <si>
    <t>шт</t>
  </si>
  <si>
    <t>Кофе злаковый, какао</t>
  </si>
  <si>
    <t>Соль</t>
  </si>
  <si>
    <t>Дрожжи</t>
  </si>
  <si>
    <t>Птица</t>
  </si>
  <si>
    <t>Соки</t>
  </si>
  <si>
    <t>л</t>
  </si>
  <si>
    <t>Напитки витаминизированные (готовый напиток)</t>
  </si>
  <si>
    <t>Макаронный изделия</t>
  </si>
  <si>
    <t>нетто</t>
  </si>
  <si>
    <t>сок</t>
  </si>
  <si>
    <t>хлеб в/с</t>
  </si>
  <si>
    <t xml:space="preserve">хлеб </t>
  </si>
  <si>
    <t>Чай с молоком</t>
  </si>
  <si>
    <t>молоко</t>
  </si>
  <si>
    <t>хлеб</t>
  </si>
  <si>
    <t>Какао с молоком</t>
  </si>
  <si>
    <t>вода</t>
  </si>
  <si>
    <t>сахар</t>
  </si>
  <si>
    <t>соль</t>
  </si>
  <si>
    <t>масло слив</t>
  </si>
  <si>
    <t>коф напит</t>
  </si>
  <si>
    <t>150/180</t>
  </si>
  <si>
    <t>лук репчатый</t>
  </si>
  <si>
    <t>масло раст</t>
  </si>
  <si>
    <t>морковь</t>
  </si>
  <si>
    <t>бульон</t>
  </si>
  <si>
    <t>Соус</t>
  </si>
  <si>
    <t>сметана</t>
  </si>
  <si>
    <t>мука</t>
  </si>
  <si>
    <t>вода или отвар</t>
  </si>
  <si>
    <t>крупа греч</t>
  </si>
  <si>
    <t>курага</t>
  </si>
  <si>
    <t>1-3года</t>
  </si>
  <si>
    <t>3-7лет</t>
  </si>
  <si>
    <t>Кофейный напиток</t>
  </si>
  <si>
    <t>Компот из кураги</t>
  </si>
  <si>
    <t>Хлеб в/с</t>
  </si>
  <si>
    <t>говядина</t>
  </si>
  <si>
    <t>чай</t>
  </si>
  <si>
    <t xml:space="preserve">Наименование </t>
  </si>
  <si>
    <t>блюда</t>
  </si>
  <si>
    <t>Выход</t>
  </si>
  <si>
    <t>Б</t>
  </si>
  <si>
    <t>Ж</t>
  </si>
  <si>
    <t>У</t>
  </si>
  <si>
    <t>Витамин С</t>
  </si>
  <si>
    <t>Завтрак</t>
  </si>
  <si>
    <t>Сыр</t>
  </si>
  <si>
    <t>2-й завтрак</t>
  </si>
  <si>
    <t>Сок</t>
  </si>
  <si>
    <t>Обед</t>
  </si>
  <si>
    <t>Полдник</t>
  </si>
  <si>
    <t>60/60</t>
  </si>
  <si>
    <t xml:space="preserve">день 1-й </t>
  </si>
  <si>
    <t xml:space="preserve">день 2-й </t>
  </si>
  <si>
    <t>Итого:</t>
  </si>
  <si>
    <t>брутто</t>
  </si>
  <si>
    <t>творог</t>
  </si>
  <si>
    <t>крупа манная</t>
  </si>
  <si>
    <t>яйцо</t>
  </si>
  <si>
    <t>сухари</t>
  </si>
  <si>
    <t>100/30</t>
  </si>
  <si>
    <t xml:space="preserve">день 3-й </t>
  </si>
  <si>
    <t>Каша молочная манная</t>
  </si>
  <si>
    <t>Пюре картофельное</t>
  </si>
  <si>
    <t>Молоко кипяченное</t>
  </si>
  <si>
    <t xml:space="preserve">В среднем за </t>
  </si>
  <si>
    <t>10 дней</t>
  </si>
  <si>
    <t>Фактически выдано в нетто по дням</t>
  </si>
  <si>
    <t xml:space="preserve">день 4-й </t>
  </si>
  <si>
    <t>Омлет с сыром</t>
  </si>
  <si>
    <t>Пищевые вещества (г)</t>
  </si>
  <si>
    <t>Запеканка   из творога</t>
  </si>
  <si>
    <t>масло растительное</t>
  </si>
  <si>
    <t>свекла</t>
  </si>
  <si>
    <t>томат паста</t>
  </si>
  <si>
    <t>хлеб 2/с</t>
  </si>
  <si>
    <t xml:space="preserve">Хлеб </t>
  </si>
  <si>
    <t>крупа рисовая</t>
  </si>
  <si>
    <t>мука пшеничная</t>
  </si>
  <si>
    <t xml:space="preserve">день 5-й </t>
  </si>
  <si>
    <t>60/15</t>
  </si>
  <si>
    <t>Голубцы ленивые</t>
  </si>
  <si>
    <t>80/30</t>
  </si>
  <si>
    <t>какао</t>
  </si>
  <si>
    <t>молоко цельное</t>
  </si>
  <si>
    <t xml:space="preserve">Фрукт </t>
  </si>
  <si>
    <t>Наименование блюда</t>
  </si>
  <si>
    <t xml:space="preserve">день 6-й </t>
  </si>
  <si>
    <t xml:space="preserve">день 7-й </t>
  </si>
  <si>
    <t xml:space="preserve">день 8-й </t>
  </si>
  <si>
    <t xml:space="preserve">день 9-й </t>
  </si>
  <si>
    <t>Омлет натуральный</t>
  </si>
  <si>
    <t>яйца</t>
  </si>
  <si>
    <t>Винегрет овощной</t>
  </si>
  <si>
    <t>Помидор свежий</t>
  </si>
  <si>
    <t>Кисель из сока</t>
  </si>
  <si>
    <t>или молоко сухое</t>
  </si>
  <si>
    <t>минтай неразд</t>
  </si>
  <si>
    <t>треска потр без головы</t>
  </si>
  <si>
    <t>шиповник</t>
  </si>
  <si>
    <t>крахмал</t>
  </si>
  <si>
    <t>печень говяжья</t>
  </si>
  <si>
    <t>яйца для смазки</t>
  </si>
  <si>
    <t>Шницель рыбный</t>
  </si>
  <si>
    <t xml:space="preserve">день 10-й </t>
  </si>
  <si>
    <t>Салат из свежих огурцов</t>
  </si>
  <si>
    <t>Суп с рыбными консервами</t>
  </si>
  <si>
    <t>№ р-ры</t>
  </si>
  <si>
    <t>огурцы соленые</t>
  </si>
  <si>
    <t>выход</t>
  </si>
  <si>
    <t>бульон или вода</t>
  </si>
  <si>
    <t>капуста свежая</t>
  </si>
  <si>
    <t>или сухое</t>
  </si>
  <si>
    <t>масло сливочное</t>
  </si>
  <si>
    <t>мясо говядина</t>
  </si>
  <si>
    <t>макаронные изделия</t>
  </si>
  <si>
    <t>хлеб ржаной</t>
  </si>
  <si>
    <t>дрожжи</t>
  </si>
  <si>
    <t>горошек зеленый</t>
  </si>
  <si>
    <t>ванилин</t>
  </si>
  <si>
    <t>кислота лимонная</t>
  </si>
  <si>
    <t>9-день</t>
  </si>
  <si>
    <t xml:space="preserve">молоко </t>
  </si>
  <si>
    <t>масло раст.</t>
  </si>
  <si>
    <t>10-днь</t>
  </si>
  <si>
    <t xml:space="preserve">Меню разработано по сборнику рецептурных блюд и кулинарных изделий для питания детей в </t>
  </si>
  <si>
    <t>дошкольных организациях. Руководители разработки сборника: Могильный М.П. Тутельян В.А.</t>
  </si>
  <si>
    <t>Напиток из плодов шиповника</t>
  </si>
  <si>
    <t>Фрукт</t>
  </si>
  <si>
    <t>120/5</t>
  </si>
  <si>
    <t xml:space="preserve">Картофель свеж </t>
  </si>
  <si>
    <t>3-7 лет на 10,5 час 85%;</t>
  </si>
  <si>
    <t>Итого среднее значение за весь период</t>
  </si>
  <si>
    <t>Рекомендуемые значения</t>
  </si>
  <si>
    <t>мука на подпыл</t>
  </si>
  <si>
    <t>или куриные окорочка</t>
  </si>
  <si>
    <t>Хлеб пшеничный</t>
  </si>
  <si>
    <t>Кисломолочный продукт</t>
  </si>
  <si>
    <t>Сельдь порциями</t>
  </si>
  <si>
    <t>ясли</t>
  </si>
  <si>
    <t>сад</t>
  </si>
  <si>
    <t>Энергетическая ценность (ккал)</t>
  </si>
  <si>
    <t>прием пищи</t>
  </si>
  <si>
    <t>Хлеб ржаной (ржано-пшеничный)</t>
  </si>
  <si>
    <t>картофель  1сентябрь</t>
  </si>
  <si>
    <t>картофель 1ноябрь</t>
  </si>
  <si>
    <t>картофель 1января</t>
  </si>
  <si>
    <t>картофель 1марта</t>
  </si>
  <si>
    <t>200/10</t>
  </si>
  <si>
    <t>250/10</t>
  </si>
  <si>
    <t>Вафли</t>
  </si>
  <si>
    <t>геркулес</t>
  </si>
  <si>
    <t>фрукт</t>
  </si>
  <si>
    <t>петрушка</t>
  </si>
  <si>
    <t>яблоки свежие</t>
  </si>
  <si>
    <t>зелень</t>
  </si>
  <si>
    <t xml:space="preserve">     день 1-й </t>
  </si>
  <si>
    <t xml:space="preserve">      день 2-й </t>
  </si>
  <si>
    <t xml:space="preserve">      день 3-й </t>
  </si>
  <si>
    <t xml:space="preserve">      день 4-й </t>
  </si>
  <si>
    <t xml:space="preserve">     день 5-й </t>
  </si>
  <si>
    <t xml:space="preserve">    день 6-й </t>
  </si>
  <si>
    <t xml:space="preserve">     день 7-й </t>
  </si>
  <si>
    <t xml:space="preserve">      день 9-й </t>
  </si>
  <si>
    <t xml:space="preserve">      день 10-й </t>
  </si>
  <si>
    <t>масса полуфабриката</t>
  </si>
  <si>
    <t>160/5</t>
  </si>
  <si>
    <t>кисломолочный продукт</t>
  </si>
  <si>
    <t>хлеб пшеничный</t>
  </si>
  <si>
    <t>молоко или вода</t>
  </si>
  <si>
    <t>вафли</t>
  </si>
  <si>
    <t>150/5/5</t>
  </si>
  <si>
    <t>200/5/5</t>
  </si>
  <si>
    <t>180/10</t>
  </si>
  <si>
    <t>Чай с мармеладом</t>
  </si>
  <si>
    <t xml:space="preserve">мясо птицы филе </t>
  </si>
  <si>
    <t>Кофейный напиток со сгущ. молоком</t>
  </si>
  <si>
    <t>60/80</t>
  </si>
  <si>
    <t>№ с/р</t>
  </si>
  <si>
    <t>150/15</t>
  </si>
  <si>
    <t>т10</t>
  </si>
  <si>
    <t>Молоко и кисломолочные продукты</t>
  </si>
  <si>
    <t>45/60</t>
  </si>
  <si>
    <t xml:space="preserve">Фрукт  </t>
  </si>
  <si>
    <t>Тефтеля мясная</t>
  </si>
  <si>
    <t>180/30</t>
  </si>
  <si>
    <t>Гуляш из отварной говядины</t>
  </si>
  <si>
    <t>Запеканка картофельная с мясом</t>
  </si>
  <si>
    <t>масло сливочное на полив</t>
  </si>
  <si>
    <t>100/100</t>
  </si>
  <si>
    <t>30/30</t>
  </si>
  <si>
    <t>п/ф 71/94</t>
  </si>
  <si>
    <t>картофель молодой до1.09</t>
  </si>
  <si>
    <t>Тефтели рыбные тушеные с соусом</t>
  </si>
  <si>
    <t>за10 дней</t>
  </si>
  <si>
    <t>лук зеленый</t>
  </si>
  <si>
    <t>куры</t>
  </si>
  <si>
    <t>мармелад</t>
  </si>
  <si>
    <t>Суп-лапша домашняя</t>
  </si>
  <si>
    <t>я</t>
  </si>
  <si>
    <t>с</t>
  </si>
  <si>
    <t>200</t>
  </si>
  <si>
    <t>180</t>
  </si>
  <si>
    <t>25</t>
  </si>
  <si>
    <t>200/10/10</t>
  </si>
  <si>
    <t>250/10/10</t>
  </si>
  <si>
    <t>№ рецептуры</t>
  </si>
  <si>
    <t>Коэффициент пересчета</t>
  </si>
  <si>
    <t>капуста белокочанная</t>
  </si>
  <si>
    <t>п/ф 57/114</t>
  </si>
  <si>
    <t>Соки овощные, фруктовые или ягодные</t>
  </si>
  <si>
    <t>Соус молочный сладкий</t>
  </si>
  <si>
    <t>Суп карт с бобовыми</t>
  </si>
  <si>
    <t>Щи из свежей капусты</t>
  </si>
  <si>
    <t>Запеканка из печени</t>
  </si>
  <si>
    <t>Борщ с фасолью и картофелем</t>
  </si>
  <si>
    <t>Биточки рубленые из птицы</t>
  </si>
  <si>
    <t>Макаронные из.отварные</t>
  </si>
  <si>
    <t>Бутерброд с сыром и маслом</t>
  </si>
  <si>
    <t>Жаркое по-домашнему</t>
  </si>
  <si>
    <t>Салат карт.с зел.горошком</t>
  </si>
  <si>
    <t>Капуста тушеная</t>
  </si>
  <si>
    <t>Пудинг из творога</t>
  </si>
  <si>
    <t>Рассольник ленинградский</t>
  </si>
  <si>
    <t>Мясо тушеное с овощами</t>
  </si>
  <si>
    <t>Компот из суш.фру.(чернослив) 638/2</t>
  </si>
  <si>
    <t>Овощи отварные с маслом</t>
  </si>
  <si>
    <t>вода для сухого молока</t>
  </si>
  <si>
    <t>консерва рыбная</t>
  </si>
  <si>
    <t>Птица, тушенная в соусе</t>
  </si>
  <si>
    <t>или филе птицы</t>
  </si>
  <si>
    <t xml:space="preserve">Соус сметанный </t>
  </si>
  <si>
    <t xml:space="preserve">огурцы свежие        </t>
  </si>
  <si>
    <t>Соус №357</t>
  </si>
  <si>
    <t>соус сметанный с луком и томатом</t>
  </si>
  <si>
    <t>соус сметанный</t>
  </si>
  <si>
    <t>кета потр с головой</t>
  </si>
  <si>
    <t>яйца на смазку</t>
  </si>
  <si>
    <t>п/ф187/ 226</t>
  </si>
  <si>
    <t>масло раст для листов</t>
  </si>
  <si>
    <t>Кисель из плодов свежих</t>
  </si>
  <si>
    <t>масло на полив</t>
  </si>
  <si>
    <t>или окорочка</t>
  </si>
  <si>
    <t>Соус томатный</t>
  </si>
  <si>
    <t>100/150</t>
  </si>
  <si>
    <t>сок натуральный</t>
  </si>
  <si>
    <t>120/5   160/5</t>
  </si>
  <si>
    <t>п/ф141/188</t>
  </si>
  <si>
    <t>пшено</t>
  </si>
  <si>
    <t>какао порошок</t>
  </si>
  <si>
    <t>горох лущеный</t>
  </si>
  <si>
    <t>корица молотая</t>
  </si>
  <si>
    <t>24/10/5</t>
  </si>
  <si>
    <t>106/2</t>
  </si>
  <si>
    <t>Сырники из творога</t>
  </si>
  <si>
    <t>огурец свежий</t>
  </si>
  <si>
    <t>лапша домашняя №118</t>
  </si>
  <si>
    <t>масса отварной лапши</t>
  </si>
  <si>
    <t>200/10   250/10</t>
  </si>
  <si>
    <t>Рыба, запеченная с овощами</t>
  </si>
  <si>
    <t>фарш тресковый промыш. выработки</t>
  </si>
  <si>
    <t>п/ф  150 / 225</t>
  </si>
  <si>
    <t>или треска потр без головы</t>
  </si>
  <si>
    <t>или минтай неразд</t>
  </si>
  <si>
    <t>150/7  180/10</t>
  </si>
  <si>
    <t>Котлета мясная</t>
  </si>
  <si>
    <t>Плов  из мяса птицы</t>
  </si>
  <si>
    <t>Пряник</t>
  </si>
  <si>
    <t>Рагу овощное</t>
  </si>
  <si>
    <t>Птица отварная</t>
  </si>
  <si>
    <t>Картофель, тушеный в соусе</t>
  </si>
  <si>
    <t>Суп картоф.с мясными фрикадельками</t>
  </si>
  <si>
    <t>сухари панировочные</t>
  </si>
  <si>
    <t>Суфле из птицы</t>
  </si>
  <si>
    <t>соус молочный густой №353</t>
  </si>
  <si>
    <t>изюм</t>
  </si>
  <si>
    <t>Фрикадельки мясные</t>
  </si>
  <si>
    <t>полуфабрикат фрикаделек</t>
  </si>
  <si>
    <t>филе  промыш. выработки</t>
  </si>
  <si>
    <t>масса припущенной рыбы</t>
  </si>
  <si>
    <t xml:space="preserve">     день 8-й </t>
  </si>
  <si>
    <t>масса отварных макарон</t>
  </si>
  <si>
    <t>крупа (перлоавая,рисовая,овсяная)</t>
  </si>
  <si>
    <t xml:space="preserve">ясли </t>
  </si>
  <si>
    <t>масса отварного мяса</t>
  </si>
  <si>
    <t>зеленый горошек</t>
  </si>
  <si>
    <t>отвар или вода</t>
  </si>
  <si>
    <t>Кисель из плодов или ягод свежих</t>
  </si>
  <si>
    <t>брусника</t>
  </si>
  <si>
    <t>или смородина черная</t>
  </si>
  <si>
    <t>или вишня</t>
  </si>
  <si>
    <t>крукпа рисовая</t>
  </si>
  <si>
    <t>масса припущенного лука с маслом</t>
  </si>
  <si>
    <t xml:space="preserve"> №355</t>
  </si>
  <si>
    <t>Соус сметанный с томатом</t>
  </si>
  <si>
    <t xml:space="preserve">соус </t>
  </si>
  <si>
    <t>пряник</t>
  </si>
  <si>
    <t>масло слив. на полив</t>
  </si>
  <si>
    <t>кофейный напиток</t>
  </si>
  <si>
    <t>молоко сгущенное</t>
  </si>
  <si>
    <t>соус сметанный с томатом</t>
  </si>
  <si>
    <t>чернослив</t>
  </si>
  <si>
    <t>Борщ с картофелем</t>
  </si>
  <si>
    <t>картофель</t>
  </si>
  <si>
    <t>кабачки</t>
  </si>
  <si>
    <t>капуста цветная</t>
  </si>
  <si>
    <t>соус томатный</t>
  </si>
  <si>
    <t>50/50</t>
  </si>
  <si>
    <t>90/30  100/30</t>
  </si>
  <si>
    <t>50/110     60/140</t>
  </si>
  <si>
    <t>160/200</t>
  </si>
  <si>
    <t>30/150  40/190</t>
  </si>
  <si>
    <t>Салат из свеклы</t>
  </si>
  <si>
    <t>30/10/5</t>
  </si>
  <si>
    <t>50/60   60/80</t>
  </si>
  <si>
    <t>вода для заварки</t>
  </si>
  <si>
    <t xml:space="preserve">Компот из сушеных фруктов (кураги) </t>
  </si>
  <si>
    <t>Суп картоф с крупой</t>
  </si>
  <si>
    <t>или манная</t>
  </si>
  <si>
    <t>0</t>
  </si>
  <si>
    <t xml:space="preserve">Запеканка из творога </t>
  </si>
  <si>
    <t>120 /180</t>
  </si>
  <si>
    <t>Макаронные изделия отварные</t>
  </si>
  <si>
    <t>Борщ с картофелем со сметаной</t>
  </si>
  <si>
    <t>2021г</t>
  </si>
  <si>
    <t>80/80</t>
  </si>
  <si>
    <t>Каша  молочная геркулесовая</t>
  </si>
  <si>
    <t>Икра кабачковая</t>
  </si>
  <si>
    <t>Чай с сахаром</t>
  </si>
  <si>
    <t>Компот из свежих фруктов</t>
  </si>
  <si>
    <t>Макаронные изд отварные</t>
  </si>
  <si>
    <t>Рассольник домашний</t>
  </si>
  <si>
    <t>Салат из морской капусты</t>
  </si>
  <si>
    <t>Комот из свежих плодов</t>
  </si>
  <si>
    <t>Салат из св.помидор и огурцов</t>
  </si>
  <si>
    <t>Пудинг из рыбы запеченный</t>
  </si>
  <si>
    <t>Каша молочная рисовая</t>
  </si>
  <si>
    <t>Икра овощная</t>
  </si>
  <si>
    <t>Запеканка из печени с рисом</t>
  </si>
  <si>
    <t>Кисломрлочный продукт</t>
  </si>
  <si>
    <t>Каша пшенная жидкая</t>
  </si>
  <si>
    <t>Салат карт. с зел.горошком</t>
  </si>
  <si>
    <t>Каша рассыпчатая гречневая</t>
  </si>
  <si>
    <t>отвар или вода для соуса</t>
  </si>
  <si>
    <t>Соус яблочный</t>
  </si>
  <si>
    <t>фасоль  сухая</t>
  </si>
  <si>
    <t>120/150</t>
  </si>
  <si>
    <t>чеснок</t>
  </si>
  <si>
    <t>вода  или бульон</t>
  </si>
  <si>
    <t>манка</t>
  </si>
  <si>
    <t>Сок   200/200</t>
  </si>
  <si>
    <t>или кета потр с гол</t>
  </si>
  <si>
    <t>или филе птиц</t>
  </si>
  <si>
    <t>птица отварная</t>
  </si>
  <si>
    <t>75//110</t>
  </si>
  <si>
    <t>п/ф 65/87</t>
  </si>
  <si>
    <t>огурцы свежие</t>
  </si>
  <si>
    <t>или капуста белокочанная</t>
  </si>
  <si>
    <t>или капуста цветная</t>
  </si>
  <si>
    <t>масса отварных овощей</t>
  </si>
  <si>
    <t>соус</t>
  </si>
  <si>
    <t>Соус сметанный</t>
  </si>
  <si>
    <t>масло для смазки формы</t>
  </si>
  <si>
    <t>чай  высшего или 1-го сорта (сухой )</t>
  </si>
  <si>
    <t>150  200</t>
  </si>
  <si>
    <t>45   60</t>
  </si>
  <si>
    <t>масса омлетной смеси</t>
  </si>
  <si>
    <t>или лук репчатый</t>
  </si>
  <si>
    <t>Бульон с птицей, сухарями и яйцом</t>
  </si>
  <si>
    <t>яйца для оттяжки</t>
  </si>
  <si>
    <t>Гренки  1/10</t>
  </si>
  <si>
    <t>Комот из сушеных фруктов(чернослив)</t>
  </si>
  <si>
    <t>плоды шиповника сушеные</t>
  </si>
  <si>
    <t>70/5  80/5</t>
  </si>
  <si>
    <t>П/Ф  87,5 / 100</t>
  </si>
  <si>
    <t>фрукт / сок</t>
  </si>
  <si>
    <t>50/100     50/130</t>
  </si>
  <si>
    <t>п/ф 43/16,7</t>
  </si>
  <si>
    <t>Бульон с мясом птицы, гренками и яйцом</t>
  </si>
  <si>
    <t>Бульон с птицей, гренками и яйцом</t>
  </si>
  <si>
    <t>200/10/10/20</t>
  </si>
  <si>
    <t>250/10/10/20</t>
  </si>
  <si>
    <t>170/220</t>
  </si>
  <si>
    <t>50/50  60/60</t>
  </si>
  <si>
    <t>50/5   60/5</t>
  </si>
  <si>
    <t>п/ф  62   /   74</t>
  </si>
  <si>
    <t>150/150</t>
  </si>
  <si>
    <t>50/60</t>
  </si>
  <si>
    <t>Субпродукты</t>
  </si>
  <si>
    <t>по сан-м 2021года</t>
  </si>
  <si>
    <t>150/15     180/30</t>
  </si>
  <si>
    <t>Субпродукты (печень)</t>
  </si>
  <si>
    <t>Молоко кипяченое</t>
  </si>
  <si>
    <t>Доктор Сойер</t>
  </si>
  <si>
    <t>Комот из сушеных фруктов(курага)</t>
  </si>
  <si>
    <t>150/5</t>
  </si>
  <si>
    <t>180/5</t>
  </si>
  <si>
    <t>Варенье</t>
  </si>
  <si>
    <t>т-9</t>
  </si>
  <si>
    <t>варенье</t>
  </si>
  <si>
    <t>Вареники ленивые</t>
  </si>
  <si>
    <t>229/230</t>
  </si>
  <si>
    <t xml:space="preserve">     60/5 100/5</t>
  </si>
  <si>
    <t>п/ф вареников  57/ 95</t>
  </si>
  <si>
    <t>п/ф 62,8</t>
  </si>
  <si>
    <t>повидло</t>
  </si>
  <si>
    <t>масло растительное для листов</t>
  </si>
  <si>
    <t xml:space="preserve">Сырники из творога </t>
  </si>
  <si>
    <t>Чай с пастилой или медом</t>
  </si>
  <si>
    <t>588/2</t>
  </si>
  <si>
    <t>т-6</t>
  </si>
  <si>
    <t>Щи из св капусты с картофелем</t>
  </si>
  <si>
    <t>50/20  100/20</t>
  </si>
  <si>
    <t>75/67</t>
  </si>
  <si>
    <t>589/2</t>
  </si>
  <si>
    <t>Компот из сушеных фруктов</t>
  </si>
  <si>
    <t>Каша  молочная геркулес</t>
  </si>
  <si>
    <t>Коржики молочные</t>
  </si>
  <si>
    <t>Каша молочная гречневая</t>
  </si>
  <si>
    <t>Рыба, запеченная в сметанном соусе</t>
  </si>
  <si>
    <t>Рис отварной</t>
  </si>
  <si>
    <t>Полоска песочная с повидлом</t>
  </si>
  <si>
    <t>Макарон. изд. запеченные с сыром (вермишель)</t>
  </si>
  <si>
    <t>Винигрет овощной</t>
  </si>
  <si>
    <t xml:space="preserve">Икра свекольная или морковная </t>
  </si>
  <si>
    <t>Булочка ванильная</t>
  </si>
  <si>
    <t>Салат из зеленого горошка</t>
  </si>
  <si>
    <t>мука пшеничная (подпыл)</t>
  </si>
  <si>
    <t>натрий двууглекислый</t>
  </si>
  <si>
    <t>горошек консервированный</t>
  </si>
  <si>
    <t>петрушка (зелень)</t>
  </si>
  <si>
    <t>или зелень укропа</t>
  </si>
  <si>
    <t>Батон нарезной</t>
  </si>
  <si>
    <t xml:space="preserve">батон </t>
  </si>
  <si>
    <t>Салат из свежих помидор и огурцаов</t>
  </si>
  <si>
    <t>помидоры свежие</t>
  </si>
  <si>
    <t>Компот из сушеных фруктов(курага)</t>
  </si>
  <si>
    <t>54-6т-2020</t>
  </si>
  <si>
    <t>Новосибирский НИИ гигиены</t>
  </si>
  <si>
    <t>Сырники</t>
  </si>
  <si>
    <t>Каша жидкая (пшенная)</t>
  </si>
  <si>
    <t>Каша вязкая (молочная геркулес)</t>
  </si>
  <si>
    <t>крупа гречка</t>
  </si>
  <si>
    <t>Каша вязкая (молочная гречневая)</t>
  </si>
  <si>
    <t>филе судака</t>
  </si>
  <si>
    <t>масса отварной рыбы</t>
  </si>
  <si>
    <t>рис крупа</t>
  </si>
  <si>
    <t>яцйа</t>
  </si>
  <si>
    <t>эссенция</t>
  </si>
  <si>
    <t>Салат из кукурузы (консервированной)</t>
  </si>
  <si>
    <t>кукуруза консервированная</t>
  </si>
  <si>
    <t xml:space="preserve">Икра  свекольная или морковная </t>
  </si>
  <si>
    <t>или свекла</t>
  </si>
  <si>
    <t>или изюм</t>
  </si>
  <si>
    <t xml:space="preserve">яйца </t>
  </si>
  <si>
    <t>%</t>
  </si>
  <si>
    <t xml:space="preserve"> отклонение %</t>
  </si>
  <si>
    <t>200/10/10/40</t>
  </si>
  <si>
    <t>250/10/10/40</t>
  </si>
  <si>
    <t>200/10/10/40  250/10/10/40</t>
  </si>
  <si>
    <t xml:space="preserve">    150/5   /   150/5</t>
  </si>
  <si>
    <t>Огурец свежий</t>
  </si>
  <si>
    <t>помидор</t>
  </si>
  <si>
    <t>огурец</t>
  </si>
  <si>
    <t>111/2</t>
  </si>
  <si>
    <t>Салат из  горошка зеленого консервированного</t>
  </si>
  <si>
    <t>Салат из свежих помидор и огурцов</t>
  </si>
  <si>
    <t>Мясо отварное (говядина)</t>
  </si>
  <si>
    <t>Возрастная категория с 1-3года; 3-7лет  85%   на 2022год</t>
  </si>
  <si>
    <t>2022год</t>
  </si>
  <si>
    <t>Возрастная категория с1-3 лет; 3-7 лет  на 10,5 часов  85%   на 2022год</t>
  </si>
  <si>
    <t>Ведомость контроля за рационом питания</t>
  </si>
  <si>
    <t>1-3 лет на 10,5 час 85%;</t>
  </si>
  <si>
    <t>Салат из кукурузы</t>
  </si>
  <si>
    <t>Бефстроганов</t>
  </si>
  <si>
    <t>130/150</t>
  </si>
  <si>
    <t>24/5  30/5</t>
  </si>
  <si>
    <t>30/50</t>
  </si>
  <si>
    <t>кабачковая икра</t>
  </si>
  <si>
    <t>150                   180</t>
  </si>
  <si>
    <t>Огурец свежий  30</t>
  </si>
  <si>
    <t>Салат из зеленого горошка 50</t>
  </si>
  <si>
    <t>150/10/10  180/10/10</t>
  </si>
  <si>
    <t>110/130</t>
  </si>
  <si>
    <t>Компот из свежих плодов</t>
  </si>
  <si>
    <t>свежие плоды</t>
  </si>
  <si>
    <t>100   130</t>
  </si>
  <si>
    <t>130/5/5     150/5/5</t>
  </si>
  <si>
    <t>150/10    180/10</t>
  </si>
  <si>
    <t>Бефстроганов из отв.мяса</t>
  </si>
  <si>
    <t>130/5  150/5</t>
  </si>
  <si>
    <t>Масло сливочное 5/5</t>
  </si>
  <si>
    <t>Молоко кипяченное  150/180</t>
  </si>
  <si>
    <t>180/10/10</t>
  </si>
  <si>
    <t>Сок   200/180</t>
  </si>
  <si>
    <t>Сок      200/180</t>
  </si>
  <si>
    <t xml:space="preserve">капуста морская </t>
  </si>
  <si>
    <t>180/20    180/25</t>
  </si>
  <si>
    <t>120/130</t>
  </si>
  <si>
    <t>Чай с медом</t>
  </si>
  <si>
    <t xml:space="preserve">   мед</t>
  </si>
  <si>
    <t>Фрукт    95/100</t>
  </si>
  <si>
    <t>150/10/10</t>
  </si>
  <si>
    <r>
      <rPr>
        <sz val="10"/>
        <color indexed="10"/>
        <rFont val="Times New Roman"/>
        <family val="1"/>
        <charset val="204"/>
      </rPr>
      <t>120/</t>
    </r>
    <r>
      <rPr>
        <sz val="10"/>
        <rFont val="Times New Roman"/>
        <family val="1"/>
        <charset val="204"/>
      </rPr>
      <t>150</t>
    </r>
  </si>
  <si>
    <t>Сок    200/180</t>
  </si>
  <si>
    <t>Помидор свежий   45</t>
  </si>
  <si>
    <t xml:space="preserve">    200/10/10</t>
  </si>
  <si>
    <t xml:space="preserve">масло сливочное </t>
  </si>
  <si>
    <t>Фрукт 95      Сок  180</t>
  </si>
  <si>
    <t>180/10            200/10</t>
  </si>
  <si>
    <t>Повидло</t>
  </si>
  <si>
    <t>24/5/5</t>
  </si>
  <si>
    <t>30/5/10</t>
  </si>
  <si>
    <t>Чай с  медом</t>
  </si>
  <si>
    <t>150</t>
  </si>
  <si>
    <t>Чай</t>
  </si>
  <si>
    <t>чай заварка</t>
  </si>
  <si>
    <t>кисломолочный прод.</t>
  </si>
  <si>
    <t>24 / 30</t>
  </si>
  <si>
    <t>к/м</t>
  </si>
  <si>
    <t>24/30</t>
  </si>
  <si>
    <t>30</t>
  </si>
  <si>
    <t>Сыр    5/5</t>
  </si>
  <si>
    <t>картофель 1март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</si>
</sst>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7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8"/>
      <name val="Arial"/>
    </font>
    <font>
      <b/>
      <sz val="10"/>
      <name val="Arial"/>
    </font>
    <font>
      <sz val="10"/>
      <name val="Arial"/>
    </font>
    <font>
      <b/>
      <sz val="12"/>
      <name val="Arial"/>
    </font>
    <font>
      <sz val="10"/>
      <name val="Arial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10"/>
      <name val="Arial"/>
    </font>
    <font>
      <b/>
      <i/>
      <sz val="10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0"/>
      <name val="Arial"/>
    </font>
    <font>
      <sz val="10"/>
      <color indexed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5">
    <xf numFmtId="0" fontId="0" fillId="0" borderId="0" xfId="0"/>
    <xf numFmtId="0" fontId="0" fillId="0" borderId="0" xfId="0" applyBorder="1"/>
    <xf numFmtId="0" fontId="1" fillId="0" borderId="0" xfId="0" applyFont="1" applyFill="1" applyBorder="1"/>
    <xf numFmtId="0" fontId="0" fillId="0" borderId="0" xfId="0" applyFill="1"/>
    <xf numFmtId="2" fontId="1" fillId="0" borderId="0" xfId="0" applyNumberFormat="1" applyFont="1" applyFill="1" applyBorder="1"/>
    <xf numFmtId="164" fontId="1" fillId="0" borderId="1" xfId="0" applyNumberFormat="1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164" fontId="1" fillId="0" borderId="0" xfId="0" applyNumberFormat="1" applyFont="1" applyFill="1"/>
    <xf numFmtId="0" fontId="1" fillId="0" borderId="0" xfId="0" applyFont="1" applyFill="1"/>
    <xf numFmtId="0" fontId="6" fillId="0" borderId="0" xfId="0" applyFont="1" applyFill="1"/>
    <xf numFmtId="0" fontId="1" fillId="0" borderId="4" xfId="0" applyFont="1" applyFill="1" applyBorder="1"/>
    <xf numFmtId="0" fontId="1" fillId="0" borderId="5" xfId="0" applyFont="1" applyFill="1" applyBorder="1"/>
    <xf numFmtId="0" fontId="10" fillId="0" borderId="0" xfId="0" applyFont="1" applyFill="1"/>
    <xf numFmtId="0" fontId="10" fillId="0" borderId="0" xfId="0" applyFont="1"/>
    <xf numFmtId="0" fontId="1" fillId="0" borderId="6" xfId="0" applyFont="1" applyFill="1" applyBorder="1"/>
    <xf numFmtId="2" fontId="6" fillId="0" borderId="0" xfId="0" applyNumberFormat="1" applyFont="1" applyFill="1"/>
    <xf numFmtId="0" fontId="2" fillId="0" borderId="0" xfId="0" applyFont="1"/>
    <xf numFmtId="0" fontId="3" fillId="0" borderId="0" xfId="0" applyFont="1" applyFill="1"/>
    <xf numFmtId="0" fontId="12" fillId="0" borderId="0" xfId="0" applyFont="1" applyFill="1"/>
    <xf numFmtId="0" fontId="14" fillId="0" borderId="7" xfId="0" applyFont="1" applyFill="1" applyBorder="1" applyAlignment="1">
      <alignment horizontal="right"/>
    </xf>
    <xf numFmtId="0" fontId="14" fillId="0" borderId="1" xfId="0" applyFont="1" applyFill="1" applyBorder="1"/>
    <xf numFmtId="0" fontId="10" fillId="0" borderId="5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4" fillId="0" borderId="3" xfId="0" applyFont="1" applyFill="1" applyBorder="1"/>
    <xf numFmtId="0" fontId="10" fillId="0" borderId="3" xfId="0" applyFont="1" applyFill="1" applyBorder="1" applyAlignment="1">
      <alignment horizontal="right"/>
    </xf>
    <xf numFmtId="0" fontId="14" fillId="0" borderId="9" xfId="0" applyFont="1" applyFill="1" applyBorder="1" applyAlignment="1">
      <alignment horizontal="right"/>
    </xf>
    <xf numFmtId="0" fontId="14" fillId="0" borderId="10" xfId="0" applyFont="1" applyFill="1" applyBorder="1" applyAlignment="1">
      <alignment horizontal="right"/>
    </xf>
    <xf numFmtId="49" fontId="14" fillId="0" borderId="1" xfId="0" applyNumberFormat="1" applyFont="1" applyFill="1" applyBorder="1" applyAlignment="1">
      <alignment horizontal="right"/>
    </xf>
    <xf numFmtId="0" fontId="14" fillId="0" borderId="3" xfId="0" applyFont="1" applyFill="1" applyBorder="1" applyAlignment="1">
      <alignment horizontal="right"/>
    </xf>
    <xf numFmtId="0" fontId="10" fillId="0" borderId="6" xfId="0" applyFont="1" applyFill="1" applyBorder="1" applyAlignment="1">
      <alignment horizontal="center"/>
    </xf>
    <xf numFmtId="49" fontId="14" fillId="0" borderId="3" xfId="0" applyNumberFormat="1" applyFont="1" applyFill="1" applyBorder="1" applyAlignment="1">
      <alignment horizontal="right"/>
    </xf>
    <xf numFmtId="49" fontId="14" fillId="0" borderId="11" xfId="0" applyNumberFormat="1" applyFont="1" applyFill="1" applyBorder="1" applyAlignment="1">
      <alignment horizontal="right"/>
    </xf>
    <xf numFmtId="0" fontId="10" fillId="0" borderId="12" xfId="0" applyFont="1" applyFill="1" applyBorder="1" applyAlignment="1">
      <alignment horizontal="center"/>
    </xf>
    <xf numFmtId="0" fontId="14" fillId="0" borderId="7" xfId="0" applyFont="1" applyFill="1" applyBorder="1"/>
    <xf numFmtId="164" fontId="1" fillId="0" borderId="3" xfId="0" applyNumberFormat="1" applyFont="1" applyFill="1" applyBorder="1"/>
    <xf numFmtId="0" fontId="10" fillId="0" borderId="13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right"/>
    </xf>
    <xf numFmtId="0" fontId="14" fillId="0" borderId="0" xfId="0" applyFont="1" applyFill="1" applyBorder="1"/>
    <xf numFmtId="0" fontId="13" fillId="0" borderId="14" xfId="0" applyFont="1" applyFill="1" applyBorder="1"/>
    <xf numFmtId="0" fontId="13" fillId="0" borderId="15" xfId="0" applyFont="1" applyFill="1" applyBorder="1"/>
    <xf numFmtId="0" fontId="10" fillId="0" borderId="16" xfId="0" applyFont="1" applyFill="1" applyBorder="1" applyAlignment="1">
      <alignment horizontal="center"/>
    </xf>
    <xf numFmtId="0" fontId="14" fillId="0" borderId="2" xfId="0" applyFont="1" applyFill="1" applyBorder="1"/>
    <xf numFmtId="0" fontId="10" fillId="0" borderId="2" xfId="0" applyFont="1" applyFill="1" applyBorder="1" applyAlignment="1">
      <alignment horizontal="right"/>
    </xf>
    <xf numFmtId="0" fontId="10" fillId="0" borderId="1" xfId="0" applyNumberFormat="1" applyFont="1" applyFill="1" applyBorder="1" applyAlignment="1">
      <alignment horizontal="right"/>
    </xf>
    <xf numFmtId="0" fontId="10" fillId="0" borderId="17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0" fontId="10" fillId="0" borderId="17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/>
    </xf>
    <xf numFmtId="0" fontId="14" fillId="0" borderId="17" xfId="0" applyFont="1" applyFill="1" applyBorder="1" applyAlignment="1">
      <alignment horizontal="right"/>
    </xf>
    <xf numFmtId="0" fontId="14" fillId="0" borderId="17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4" fillId="0" borderId="1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0" fontId="14" fillId="0" borderId="18" xfId="0" applyFont="1" applyFill="1" applyBorder="1" applyAlignment="1">
      <alignment horizontal="right"/>
    </xf>
    <xf numFmtId="0" fontId="14" fillId="0" borderId="17" xfId="0" applyNumberFormat="1" applyFont="1" applyFill="1" applyBorder="1" applyAlignment="1">
      <alignment horizontal="right"/>
    </xf>
    <xf numFmtId="0" fontId="10" fillId="0" borderId="19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right"/>
    </xf>
    <xf numFmtId="0" fontId="14" fillId="0" borderId="8" xfId="0" applyNumberFormat="1" applyFont="1" applyFill="1" applyBorder="1" applyAlignment="1">
      <alignment horizontal="right"/>
    </xf>
    <xf numFmtId="0" fontId="14" fillId="0" borderId="18" xfId="0" applyFont="1" applyFill="1" applyBorder="1" applyAlignment="1">
      <alignment horizontal="left"/>
    </xf>
    <xf numFmtId="49" fontId="14" fillId="0" borderId="17" xfId="0" applyNumberFormat="1" applyFont="1" applyFill="1" applyBorder="1" applyAlignment="1">
      <alignment horizontal="right"/>
    </xf>
    <xf numFmtId="0" fontId="14" fillId="0" borderId="3" xfId="0" applyFont="1" applyFill="1" applyBorder="1" applyAlignment="1">
      <alignment horizontal="left"/>
    </xf>
    <xf numFmtId="0" fontId="10" fillId="0" borderId="21" xfId="0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left"/>
    </xf>
    <xf numFmtId="49" fontId="14" fillId="0" borderId="17" xfId="0" applyNumberFormat="1" applyFont="1" applyFill="1" applyBorder="1" applyAlignment="1">
      <alignment horizontal="left"/>
    </xf>
    <xf numFmtId="0" fontId="14" fillId="0" borderId="22" xfId="0" applyFont="1" applyFill="1" applyBorder="1"/>
    <xf numFmtId="49" fontId="14" fillId="0" borderId="22" xfId="0" applyNumberFormat="1" applyFont="1" applyFill="1" applyBorder="1" applyAlignment="1">
      <alignment horizontal="right"/>
    </xf>
    <xf numFmtId="49" fontId="14" fillId="0" borderId="21" xfId="0" applyNumberFormat="1" applyFont="1" applyFill="1" applyBorder="1" applyAlignment="1">
      <alignment horizontal="right"/>
    </xf>
    <xf numFmtId="0" fontId="10" fillId="0" borderId="23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4" fillId="0" borderId="3" xfId="0" applyNumberFormat="1" applyFont="1" applyFill="1" applyBorder="1" applyAlignment="1">
      <alignment horizontal="right"/>
    </xf>
    <xf numFmtId="0" fontId="10" fillId="0" borderId="25" xfId="0" applyFont="1" applyFill="1" applyBorder="1" applyAlignment="1">
      <alignment horizontal="left"/>
    </xf>
    <xf numFmtId="0" fontId="13" fillId="0" borderId="26" xfId="0" applyFont="1" applyFill="1" applyBorder="1"/>
    <xf numFmtId="0" fontId="10" fillId="0" borderId="14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49" fontId="10" fillId="0" borderId="27" xfId="0" applyNumberFormat="1" applyFont="1" applyFill="1" applyBorder="1" applyAlignment="1">
      <alignment horizontal="left"/>
    </xf>
    <xf numFmtId="0" fontId="10" fillId="0" borderId="28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/>
    </xf>
    <xf numFmtId="49" fontId="10" fillId="0" borderId="17" xfId="0" applyNumberFormat="1" applyFont="1" applyFill="1" applyBorder="1" applyAlignment="1">
      <alignment horizontal="left"/>
    </xf>
    <xf numFmtId="49" fontId="10" fillId="0" borderId="3" xfId="0" applyNumberFormat="1" applyFont="1" applyFill="1" applyBorder="1" applyAlignment="1">
      <alignment horizontal="right"/>
    </xf>
    <xf numFmtId="49" fontId="10" fillId="0" borderId="11" xfId="0" applyNumberFormat="1" applyFont="1" applyFill="1" applyBorder="1" applyAlignment="1">
      <alignment horizontal="right"/>
    </xf>
    <xf numFmtId="49" fontId="10" fillId="0" borderId="22" xfId="0" applyNumberFormat="1" applyFont="1" applyFill="1" applyBorder="1" applyAlignment="1">
      <alignment horizontal="right"/>
    </xf>
    <xf numFmtId="49" fontId="10" fillId="0" borderId="21" xfId="0" applyNumberFormat="1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8" xfId="0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4" fillId="0" borderId="4" xfId="0" applyFont="1" applyFill="1" applyBorder="1"/>
    <xf numFmtId="0" fontId="14" fillId="0" borderId="6" xfId="0" applyFont="1" applyFill="1" applyBorder="1"/>
    <xf numFmtId="0" fontId="14" fillId="0" borderId="29" xfId="0" applyFont="1" applyFill="1" applyBorder="1"/>
    <xf numFmtId="0" fontId="14" fillId="0" borderId="0" xfId="0" applyFont="1" applyFill="1"/>
    <xf numFmtId="164" fontId="14" fillId="0" borderId="0" xfId="0" applyNumberFormat="1" applyFont="1" applyFill="1"/>
    <xf numFmtId="0" fontId="14" fillId="0" borderId="30" xfId="0" applyFont="1" applyFill="1" applyBorder="1"/>
    <xf numFmtId="164" fontId="14" fillId="0" borderId="0" xfId="0" applyNumberFormat="1" applyFont="1" applyFill="1" applyBorder="1"/>
    <xf numFmtId="0" fontId="14" fillId="0" borderId="14" xfId="0" applyFont="1" applyFill="1" applyBorder="1"/>
    <xf numFmtId="164" fontId="14" fillId="0" borderId="27" xfId="0" applyNumberFormat="1" applyFont="1" applyFill="1" applyBorder="1"/>
    <xf numFmtId="0" fontId="14" fillId="0" borderId="31" xfId="0" applyFont="1" applyFill="1" applyBorder="1"/>
    <xf numFmtId="0" fontId="14" fillId="0" borderId="32" xfId="0" applyFont="1" applyFill="1" applyBorder="1"/>
    <xf numFmtId="0" fontId="14" fillId="0" borderId="22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right"/>
    </xf>
    <xf numFmtId="0" fontId="9" fillId="0" borderId="5" xfId="0" applyFont="1" applyFill="1" applyBorder="1" applyAlignment="1"/>
    <xf numFmtId="0" fontId="9" fillId="0" borderId="6" xfId="0" applyFont="1" applyFill="1" applyBorder="1"/>
    <xf numFmtId="2" fontId="13" fillId="0" borderId="3" xfId="0" applyNumberFormat="1" applyFont="1" applyFill="1" applyBorder="1" applyAlignment="1">
      <alignment horizontal="right"/>
    </xf>
    <xf numFmtId="0" fontId="14" fillId="0" borderId="29" xfId="0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18" xfId="0" applyFont="1" applyFill="1" applyBorder="1" applyAlignment="1"/>
    <xf numFmtId="0" fontId="1" fillId="0" borderId="33" xfId="0" applyFont="1" applyFill="1" applyBorder="1"/>
    <xf numFmtId="0" fontId="1" fillId="0" borderId="34" xfId="0" applyFont="1" applyFill="1" applyBorder="1"/>
    <xf numFmtId="2" fontId="1" fillId="0" borderId="2" xfId="0" applyNumberFormat="1" applyFont="1" applyFill="1" applyBorder="1" applyAlignment="1"/>
    <xf numFmtId="0" fontId="16" fillId="0" borderId="35" xfId="0" applyFont="1" applyFill="1" applyBorder="1"/>
    <xf numFmtId="0" fontId="9" fillId="0" borderId="25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6" xfId="0" applyFont="1" applyFill="1" applyBorder="1" applyAlignment="1">
      <alignment horizontal="left"/>
    </xf>
    <xf numFmtId="0" fontId="10" fillId="0" borderId="15" xfId="0" applyFont="1" applyFill="1" applyBorder="1"/>
    <xf numFmtId="0" fontId="16" fillId="0" borderId="30" xfId="0" applyFont="1" applyFill="1" applyBorder="1"/>
    <xf numFmtId="0" fontId="10" fillId="0" borderId="37" xfId="0" applyFont="1" applyFill="1" applyBorder="1"/>
    <xf numFmtId="0" fontId="10" fillId="0" borderId="0" xfId="0" applyFont="1" applyFill="1" applyAlignment="1">
      <alignment horizontal="center"/>
    </xf>
    <xf numFmtId="49" fontId="10" fillId="0" borderId="0" xfId="0" applyNumberFormat="1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10" fillId="0" borderId="0" xfId="0" applyNumberFormat="1" applyFont="1" applyFill="1"/>
    <xf numFmtId="0" fontId="10" fillId="0" borderId="22" xfId="0" applyFont="1" applyFill="1" applyBorder="1" applyAlignment="1">
      <alignment horizontal="right"/>
    </xf>
    <xf numFmtId="0" fontId="10" fillId="0" borderId="38" xfId="0" applyFont="1" applyFill="1" applyBorder="1" applyAlignment="1">
      <alignment horizontal="right"/>
    </xf>
    <xf numFmtId="0" fontId="13" fillId="0" borderId="37" xfId="0" applyFont="1" applyFill="1" applyBorder="1" applyAlignment="1">
      <alignment horizontal="center"/>
    </xf>
    <xf numFmtId="0" fontId="14" fillId="0" borderId="39" xfId="0" applyFont="1" applyFill="1" applyBorder="1"/>
    <xf numFmtId="0" fontId="14" fillId="0" borderId="15" xfId="0" applyFont="1" applyFill="1" applyBorder="1"/>
    <xf numFmtId="164" fontId="14" fillId="0" borderId="40" xfId="0" applyNumberFormat="1" applyFont="1" applyFill="1" applyBorder="1"/>
    <xf numFmtId="0" fontId="14" fillId="0" borderId="41" xfId="0" applyFont="1" applyFill="1" applyBorder="1" applyAlignment="1">
      <alignment horizontal="right"/>
    </xf>
    <xf numFmtId="0" fontId="10" fillId="0" borderId="42" xfId="0" applyFont="1" applyFill="1" applyBorder="1" applyAlignment="1">
      <alignment horizontal="right"/>
    </xf>
    <xf numFmtId="0" fontId="10" fillId="0" borderId="43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4" fillId="0" borderId="20" xfId="0" applyFont="1" applyFill="1" applyBorder="1" applyAlignment="1">
      <alignment horizontal="left"/>
    </xf>
    <xf numFmtId="0" fontId="14" fillId="0" borderId="42" xfId="0" applyFont="1" applyFill="1" applyBorder="1" applyAlignment="1">
      <alignment horizontal="right"/>
    </xf>
    <xf numFmtId="0" fontId="10" fillId="0" borderId="44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left"/>
    </xf>
    <xf numFmtId="0" fontId="14" fillId="0" borderId="45" xfId="0" applyFont="1" applyFill="1" applyBorder="1" applyAlignment="1">
      <alignment horizontal="left"/>
    </xf>
    <xf numFmtId="0" fontId="10" fillId="0" borderId="27" xfId="0" applyFont="1" applyFill="1" applyBorder="1" applyAlignment="1">
      <alignment horizontal="center"/>
    </xf>
    <xf numFmtId="0" fontId="14" fillId="0" borderId="38" xfId="0" applyFont="1" applyFill="1" applyBorder="1" applyAlignment="1">
      <alignment horizontal="right"/>
    </xf>
    <xf numFmtId="0" fontId="10" fillId="0" borderId="46" xfId="0" applyFont="1" applyFill="1" applyBorder="1" applyAlignment="1">
      <alignment horizontal="center"/>
    </xf>
    <xf numFmtId="0" fontId="14" fillId="0" borderId="11" xfId="0" applyNumberFormat="1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4" fillId="0" borderId="37" xfId="0" applyFont="1" applyFill="1" applyBorder="1"/>
    <xf numFmtId="0" fontId="14" fillId="0" borderId="47" xfId="0" applyFont="1" applyFill="1" applyBorder="1" applyAlignment="1">
      <alignment horizontal="center"/>
    </xf>
    <xf numFmtId="164" fontId="14" fillId="0" borderId="48" xfId="0" applyNumberFormat="1" applyFont="1" applyFill="1" applyBorder="1" applyAlignment="1">
      <alignment horizontal="center"/>
    </xf>
    <xf numFmtId="0" fontId="14" fillId="0" borderId="49" xfId="0" applyNumberFormat="1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164" fontId="14" fillId="0" borderId="3" xfId="0" applyNumberFormat="1" applyFont="1" applyFill="1" applyBorder="1" applyAlignment="1">
      <alignment horizontal="center"/>
    </xf>
    <xf numFmtId="0" fontId="14" fillId="0" borderId="3" xfId="0" applyNumberFormat="1" applyFont="1" applyFill="1" applyBorder="1" applyAlignment="1">
      <alignment horizontal="center"/>
    </xf>
    <xf numFmtId="0" fontId="14" fillId="0" borderId="11" xfId="0" applyNumberFormat="1" applyFont="1" applyFill="1" applyBorder="1" applyAlignment="1">
      <alignment horizontal="center"/>
    </xf>
    <xf numFmtId="0" fontId="13" fillId="0" borderId="50" xfId="0" applyFont="1" applyFill="1" applyBorder="1"/>
    <xf numFmtId="0" fontId="13" fillId="0" borderId="2" xfId="0" applyFont="1" applyFill="1" applyBorder="1"/>
    <xf numFmtId="0" fontId="13" fillId="0" borderId="51" xfId="0" applyFont="1" applyFill="1" applyBorder="1"/>
    <xf numFmtId="0" fontId="13" fillId="0" borderId="3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left"/>
    </xf>
    <xf numFmtId="0" fontId="14" fillId="0" borderId="51" xfId="0" applyFont="1" applyFill="1" applyBorder="1"/>
    <xf numFmtId="0" fontId="14" fillId="0" borderId="51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/>
    <xf numFmtId="0" fontId="14" fillId="0" borderId="52" xfId="0" applyFont="1" applyFill="1" applyBorder="1"/>
    <xf numFmtId="0" fontId="14" fillId="0" borderId="46" xfId="0" applyFont="1" applyFill="1" applyBorder="1" applyAlignment="1">
      <alignment horizontal="center"/>
    </xf>
    <xf numFmtId="164" fontId="14" fillId="0" borderId="32" xfId="0" applyNumberFormat="1" applyFont="1" applyFill="1" applyBorder="1" applyAlignment="1">
      <alignment horizontal="center"/>
    </xf>
    <xf numFmtId="0" fontId="14" fillId="0" borderId="21" xfId="0" applyNumberFormat="1" applyFont="1" applyFill="1" applyBorder="1" applyAlignment="1">
      <alignment horizontal="center"/>
    </xf>
    <xf numFmtId="0" fontId="10" fillId="0" borderId="24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/>
    </xf>
    <xf numFmtId="0" fontId="10" fillId="0" borderId="53" xfId="0" applyFont="1" applyFill="1" applyBorder="1" applyAlignment="1">
      <alignment horizontal="center"/>
    </xf>
    <xf numFmtId="0" fontId="14" fillId="0" borderId="54" xfId="0" applyFont="1" applyFill="1" applyBorder="1"/>
    <xf numFmtId="0" fontId="14" fillId="0" borderId="54" xfId="0" applyNumberFormat="1" applyFont="1" applyFill="1" applyBorder="1" applyAlignment="1">
      <alignment horizontal="right"/>
    </xf>
    <xf numFmtId="0" fontId="14" fillId="0" borderId="55" xfId="0" applyFont="1" applyFill="1" applyBorder="1" applyAlignment="1">
      <alignment horizontal="right"/>
    </xf>
    <xf numFmtId="0" fontId="14" fillId="0" borderId="5" xfId="0" applyFont="1" applyFill="1" applyBorder="1" applyAlignment="1">
      <alignment horizontal="center"/>
    </xf>
    <xf numFmtId="0" fontId="14" fillId="0" borderId="23" xfId="0" applyFont="1" applyFill="1" applyBorder="1"/>
    <xf numFmtId="0" fontId="14" fillId="0" borderId="56" xfId="0" applyFont="1" applyFill="1" applyBorder="1" applyAlignment="1">
      <alignment horizontal="center"/>
    </xf>
    <xf numFmtId="164" fontId="14" fillId="0" borderId="57" xfId="0" applyNumberFormat="1" applyFont="1" applyFill="1" applyBorder="1"/>
    <xf numFmtId="0" fontId="9" fillId="0" borderId="16" xfId="0" applyFont="1" applyFill="1" applyBorder="1" applyAlignment="1"/>
    <xf numFmtId="0" fontId="13" fillId="0" borderId="29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3" fillId="0" borderId="0" xfId="0" applyFont="1"/>
    <xf numFmtId="0" fontId="12" fillId="0" borderId="0" xfId="0" applyFont="1"/>
    <xf numFmtId="0" fontId="8" fillId="0" borderId="0" xfId="0" applyFont="1" applyFill="1"/>
    <xf numFmtId="0" fontId="8" fillId="0" borderId="0" xfId="0" applyFont="1"/>
    <xf numFmtId="0" fontId="1" fillId="0" borderId="0" xfId="0" applyFont="1"/>
    <xf numFmtId="0" fontId="6" fillId="0" borderId="0" xfId="0" applyFont="1" applyBorder="1"/>
    <xf numFmtId="0" fontId="6" fillId="0" borderId="0" xfId="0" applyFont="1"/>
    <xf numFmtId="0" fontId="14" fillId="0" borderId="58" xfId="0" applyFont="1" applyFill="1" applyBorder="1"/>
    <xf numFmtId="0" fontId="14" fillId="0" borderId="58" xfId="0" applyFont="1" applyFill="1" applyBorder="1" applyAlignment="1">
      <alignment horizontal="right"/>
    </xf>
    <xf numFmtId="0" fontId="14" fillId="0" borderId="59" xfId="0" applyFont="1" applyFill="1" applyBorder="1" applyAlignment="1">
      <alignment horizontal="right"/>
    </xf>
    <xf numFmtId="0" fontId="14" fillId="0" borderId="25" xfId="0" applyFont="1" applyFill="1" applyBorder="1"/>
    <xf numFmtId="0" fontId="10" fillId="0" borderId="3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right"/>
    </xf>
    <xf numFmtId="0" fontId="14" fillId="0" borderId="7" xfId="0" applyFont="1" applyFill="1" applyBorder="1" applyAlignment="1">
      <alignment horizontal="left"/>
    </xf>
    <xf numFmtId="0" fontId="14" fillId="0" borderId="9" xfId="0" applyFont="1" applyFill="1" applyBorder="1" applyAlignment="1">
      <alignment horizontal="left"/>
    </xf>
    <xf numFmtId="0" fontId="14" fillId="0" borderId="25" xfId="0" applyFont="1" applyFill="1" applyBorder="1" applyAlignment="1">
      <alignment horizontal="right"/>
    </xf>
    <xf numFmtId="164" fontId="14" fillId="0" borderId="53" xfId="0" applyNumberFormat="1" applyFont="1" applyFill="1" applyBorder="1" applyAlignment="1">
      <alignment horizontal="center"/>
    </xf>
    <xf numFmtId="0" fontId="14" fillId="0" borderId="55" xfId="0" applyNumberFormat="1" applyFont="1" applyFill="1" applyBorder="1" applyAlignment="1">
      <alignment horizontal="center"/>
    </xf>
    <xf numFmtId="0" fontId="14" fillId="0" borderId="21" xfId="0" applyFont="1" applyFill="1" applyBorder="1" applyAlignment="1">
      <alignment horizontal="right"/>
    </xf>
    <xf numFmtId="164" fontId="1" fillId="0" borderId="17" xfId="0" applyNumberFormat="1" applyFont="1" applyFill="1" applyBorder="1"/>
    <xf numFmtId="0" fontId="14" fillId="0" borderId="60" xfId="0" applyFont="1" applyFill="1" applyBorder="1" applyAlignment="1">
      <alignment horizontal="center"/>
    </xf>
    <xf numFmtId="0" fontId="13" fillId="0" borderId="52" xfId="0" applyFont="1" applyFill="1" applyBorder="1"/>
    <xf numFmtId="0" fontId="13" fillId="0" borderId="7" xfId="0" applyFont="1" applyFill="1" applyBorder="1" applyAlignment="1">
      <alignment horizontal="center"/>
    </xf>
    <xf numFmtId="0" fontId="0" fillId="0" borderId="0" xfId="0" applyFill="1" applyBorder="1"/>
    <xf numFmtId="164" fontId="1" fillId="0" borderId="11" xfId="0" applyNumberFormat="1" applyFont="1" applyFill="1" applyBorder="1"/>
    <xf numFmtId="0" fontId="1" fillId="0" borderId="16" xfId="0" applyFont="1" applyFill="1" applyBorder="1"/>
    <xf numFmtId="0" fontId="1" fillId="0" borderId="29" xfId="0" applyFont="1" applyFill="1" applyBorder="1"/>
    <xf numFmtId="164" fontId="1" fillId="0" borderId="29" xfId="0" applyNumberFormat="1" applyFont="1" applyFill="1" applyBorder="1"/>
    <xf numFmtId="164" fontId="1" fillId="0" borderId="41" xfId="0" applyNumberFormat="1" applyFont="1" applyFill="1" applyBorder="1"/>
    <xf numFmtId="0" fontId="1" fillId="0" borderId="20" xfId="0" applyFont="1" applyFill="1" applyBorder="1"/>
    <xf numFmtId="0" fontId="1" fillId="0" borderId="8" xfId="0" applyFont="1" applyFill="1" applyBorder="1"/>
    <xf numFmtId="0" fontId="1" fillId="0" borderId="42" xfId="0" applyFont="1" applyFill="1" applyBorder="1"/>
    <xf numFmtId="0" fontId="1" fillId="0" borderId="45" xfId="0" applyFont="1" applyFill="1" applyBorder="1"/>
    <xf numFmtId="0" fontId="1" fillId="0" borderId="28" xfId="0" applyFont="1" applyFill="1" applyBorder="1"/>
    <xf numFmtId="164" fontId="1" fillId="0" borderId="43" xfId="0" applyNumberFormat="1" applyFont="1" applyFill="1" applyBorder="1"/>
    <xf numFmtId="164" fontId="1" fillId="0" borderId="13" xfId="0" applyNumberFormat="1" applyFont="1" applyFill="1" applyBorder="1"/>
    <xf numFmtId="164" fontId="1" fillId="0" borderId="28" xfId="0" applyNumberFormat="1" applyFont="1" applyFill="1" applyBorder="1"/>
    <xf numFmtId="164" fontId="1" fillId="0" borderId="45" xfId="0" applyNumberFormat="1" applyFont="1" applyFill="1" applyBorder="1"/>
    <xf numFmtId="164" fontId="1" fillId="0" borderId="8" xfId="0" applyNumberFormat="1" applyFont="1" applyFill="1" applyBorder="1"/>
    <xf numFmtId="164" fontId="1" fillId="0" borderId="42" xfId="0" applyNumberFormat="1" applyFont="1" applyFill="1" applyBorder="1"/>
    <xf numFmtId="0" fontId="1" fillId="0" borderId="4" xfId="0" applyFont="1" applyFill="1" applyBorder="1" applyAlignment="1"/>
    <xf numFmtId="164" fontId="1" fillId="0" borderId="16" xfId="0" applyNumberFormat="1" applyFont="1" applyFill="1" applyBorder="1"/>
    <xf numFmtId="164" fontId="1" fillId="0" borderId="5" xfId="0" applyNumberFormat="1" applyFont="1" applyFill="1" applyBorder="1"/>
    <xf numFmtId="164" fontId="1" fillId="0" borderId="6" xfId="0" applyNumberFormat="1" applyFont="1" applyFill="1" applyBorder="1"/>
    <xf numFmtId="0" fontId="3" fillId="0" borderId="0" xfId="0" applyFont="1" applyFill="1" applyBorder="1"/>
    <xf numFmtId="164" fontId="3" fillId="0" borderId="1" xfId="0" applyNumberFormat="1" applyFont="1" applyFill="1" applyBorder="1"/>
    <xf numFmtId="164" fontId="3" fillId="0" borderId="1" xfId="0" applyNumberFormat="1" applyFont="1" applyFill="1" applyBorder="1" applyAlignment="1"/>
    <xf numFmtId="0" fontId="3" fillId="0" borderId="3" xfId="0" applyFont="1" applyFill="1" applyBorder="1"/>
    <xf numFmtId="164" fontId="3" fillId="0" borderId="29" xfId="0" applyNumberFormat="1" applyFont="1" applyFill="1" applyBorder="1"/>
    <xf numFmtId="0" fontId="1" fillId="0" borderId="61" xfId="0" applyFont="1" applyFill="1" applyBorder="1"/>
    <xf numFmtId="0" fontId="3" fillId="0" borderId="3" xfId="0" applyFont="1" applyFill="1" applyBorder="1" applyAlignment="1">
      <alignment horizontal="center"/>
    </xf>
    <xf numFmtId="164" fontId="1" fillId="0" borderId="22" xfId="0" applyNumberFormat="1" applyFont="1" applyFill="1" applyBorder="1"/>
    <xf numFmtId="0" fontId="3" fillId="0" borderId="51" xfId="0" applyFont="1" applyFill="1" applyBorder="1" applyAlignment="1">
      <alignment horizontal="center"/>
    </xf>
    <xf numFmtId="164" fontId="3" fillId="0" borderId="62" xfId="0" applyNumberFormat="1" applyFont="1" applyFill="1" applyBorder="1"/>
    <xf numFmtId="164" fontId="3" fillId="0" borderId="63" xfId="0" applyNumberFormat="1" applyFont="1" applyFill="1" applyBorder="1"/>
    <xf numFmtId="164" fontId="3" fillId="0" borderId="63" xfId="0" applyNumberFormat="1" applyFont="1" applyFill="1" applyBorder="1" applyAlignment="1"/>
    <xf numFmtId="164" fontId="3" fillId="0" borderId="51" xfId="0" applyNumberFormat="1" applyFont="1" applyFill="1" applyBorder="1"/>
    <xf numFmtId="164" fontId="3" fillId="0" borderId="0" xfId="0" applyNumberFormat="1" applyFont="1" applyFill="1"/>
    <xf numFmtId="0" fontId="10" fillId="0" borderId="4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0" fillId="0" borderId="19" xfId="0" applyFont="1" applyFill="1" applyBorder="1" applyAlignment="1">
      <alignment horizontal="left"/>
    </xf>
    <xf numFmtId="0" fontId="22" fillId="0" borderId="0" xfId="0" applyFont="1" applyFill="1"/>
    <xf numFmtId="0" fontId="14" fillId="0" borderId="4" xfId="0" applyFont="1" applyFill="1" applyBorder="1" applyAlignment="1">
      <alignment horizontal="right"/>
    </xf>
    <xf numFmtId="164" fontId="14" fillId="0" borderId="2" xfId="0" applyNumberFormat="1" applyFont="1" applyFill="1" applyBorder="1"/>
    <xf numFmtId="164" fontId="14" fillId="0" borderId="18" xfId="0" applyNumberFormat="1" applyFont="1" applyFill="1" applyBorder="1"/>
    <xf numFmtId="0" fontId="14" fillId="0" borderId="5" xfId="0" applyFont="1" applyFill="1" applyBorder="1"/>
    <xf numFmtId="164" fontId="14" fillId="0" borderId="1" xfId="0" applyNumberFormat="1" applyFont="1" applyFill="1" applyBorder="1"/>
    <xf numFmtId="164" fontId="14" fillId="0" borderId="17" xfId="0" applyNumberFormat="1" applyFont="1" applyFill="1" applyBorder="1"/>
    <xf numFmtId="164" fontId="14" fillId="0" borderId="3" xfId="0" applyNumberFormat="1" applyFont="1" applyFill="1" applyBorder="1"/>
    <xf numFmtId="164" fontId="14" fillId="0" borderId="11" xfId="0" applyNumberFormat="1" applyFont="1" applyFill="1" applyBorder="1"/>
    <xf numFmtId="0" fontId="14" fillId="0" borderId="64" xfId="0" applyFont="1" applyFill="1" applyBorder="1"/>
    <xf numFmtId="0" fontId="14" fillId="0" borderId="38" xfId="0" applyFont="1" applyFill="1" applyBorder="1"/>
    <xf numFmtId="164" fontId="14" fillId="0" borderId="32" xfId="0" applyNumberFormat="1" applyFont="1" applyFill="1" applyBorder="1"/>
    <xf numFmtId="164" fontId="14" fillId="0" borderId="21" xfId="0" applyNumberFormat="1" applyFont="1" applyFill="1" applyBorder="1"/>
    <xf numFmtId="0" fontId="14" fillId="0" borderId="1" xfId="0" applyFont="1" applyFill="1" applyBorder="1" applyAlignment="1">
      <alignment horizontal="center"/>
    </xf>
    <xf numFmtId="0" fontId="14" fillId="0" borderId="5" xfId="0" applyFont="1" applyFill="1" applyBorder="1" applyAlignment="1">
      <alignment wrapText="1"/>
    </xf>
    <xf numFmtId="0" fontId="14" fillId="0" borderId="1" xfId="0" applyFont="1" applyFill="1" applyBorder="1" applyAlignment="1">
      <alignment wrapText="1"/>
    </xf>
    <xf numFmtId="0" fontId="20" fillId="0" borderId="5" xfId="0" applyFont="1" applyFill="1" applyBorder="1" applyAlignment="1"/>
    <xf numFmtId="0" fontId="20" fillId="0" borderId="1" xfId="0" applyFont="1" applyFill="1" applyBorder="1" applyAlignment="1"/>
    <xf numFmtId="165" fontId="14" fillId="0" borderId="1" xfId="0" applyNumberFormat="1" applyFont="1" applyFill="1" applyBorder="1"/>
    <xf numFmtId="0" fontId="14" fillId="0" borderId="4" xfId="0" applyFont="1" applyFill="1" applyBorder="1" applyAlignment="1">
      <alignment horizontal="center"/>
    </xf>
    <xf numFmtId="2" fontId="14" fillId="0" borderId="1" xfId="0" applyNumberFormat="1" applyFont="1" applyFill="1" applyBorder="1"/>
    <xf numFmtId="2" fontId="14" fillId="0" borderId="17" xfId="0" applyNumberFormat="1" applyFont="1" applyFill="1" applyBorder="1"/>
    <xf numFmtId="165" fontId="14" fillId="0" borderId="17" xfId="0" applyNumberFormat="1" applyFont="1" applyFill="1" applyBorder="1"/>
    <xf numFmtId="0" fontId="14" fillId="0" borderId="12" xfId="0" applyFont="1" applyFill="1" applyBorder="1"/>
    <xf numFmtId="0" fontId="14" fillId="0" borderId="53" xfId="0" applyFont="1" applyFill="1" applyBorder="1"/>
    <xf numFmtId="164" fontId="14" fillId="0" borderId="54" xfId="0" applyNumberFormat="1" applyFont="1" applyFill="1" applyBorder="1"/>
    <xf numFmtId="164" fontId="14" fillId="0" borderId="55" xfId="0" applyNumberFormat="1" applyFont="1" applyFill="1" applyBorder="1"/>
    <xf numFmtId="0" fontId="14" fillId="0" borderId="1" xfId="0" applyFont="1" applyFill="1" applyBorder="1" applyAlignment="1"/>
    <xf numFmtId="0" fontId="14" fillId="0" borderId="5" xfId="0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164" fontId="14" fillId="0" borderId="17" xfId="0" applyNumberFormat="1" applyFont="1" applyFill="1" applyBorder="1" applyAlignment="1">
      <alignment horizontal="right"/>
    </xf>
    <xf numFmtId="164" fontId="14" fillId="0" borderId="1" xfId="0" applyNumberFormat="1" applyFont="1" applyFill="1" applyBorder="1" applyAlignment="1"/>
    <xf numFmtId="164" fontId="14" fillId="0" borderId="17" xfId="0" applyNumberFormat="1" applyFont="1" applyFill="1" applyBorder="1" applyAlignment="1"/>
    <xf numFmtId="0" fontId="13" fillId="0" borderId="1" xfId="0" applyFont="1" applyFill="1" applyBorder="1" applyAlignment="1">
      <alignment horizontal="center"/>
    </xf>
    <xf numFmtId="164" fontId="13" fillId="0" borderId="1" xfId="0" applyNumberFormat="1" applyFont="1" applyFill="1" applyBorder="1" applyAlignment="1">
      <alignment horizontal="center"/>
    </xf>
    <xf numFmtId="164" fontId="13" fillId="0" borderId="17" xfId="0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164" fontId="14" fillId="0" borderId="35" xfId="0" applyNumberFormat="1" applyFont="1" applyFill="1" applyBorder="1"/>
    <xf numFmtId="164" fontId="14" fillId="0" borderId="36" xfId="0" applyNumberFormat="1" applyFont="1" applyFill="1" applyBorder="1"/>
    <xf numFmtId="0" fontId="14" fillId="0" borderId="5" xfId="0" applyFont="1" applyFill="1" applyBorder="1" applyAlignment="1">
      <alignment vertical="center" wrapText="1"/>
    </xf>
    <xf numFmtId="164" fontId="14" fillId="0" borderId="41" xfId="0" applyNumberFormat="1" applyFont="1" applyFill="1" applyBorder="1"/>
    <xf numFmtId="0" fontId="14" fillId="0" borderId="6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right"/>
    </xf>
    <xf numFmtId="164" fontId="14" fillId="0" borderId="22" xfId="0" applyNumberFormat="1" applyFont="1" applyFill="1" applyBorder="1"/>
    <xf numFmtId="0" fontId="14" fillId="0" borderId="63" xfId="0" applyFont="1" applyFill="1" applyBorder="1" applyAlignment="1">
      <alignment horizontal="center"/>
    </xf>
    <xf numFmtId="0" fontId="14" fillId="0" borderId="65" xfId="0" applyFont="1" applyFill="1" applyBorder="1" applyAlignment="1">
      <alignment wrapText="1"/>
    </xf>
    <xf numFmtId="0" fontId="14" fillId="0" borderId="13" xfId="0" applyFont="1" applyFill="1" applyBorder="1"/>
    <xf numFmtId="0" fontId="14" fillId="0" borderId="12" xfId="0" applyFont="1" applyFill="1" applyBorder="1" applyAlignment="1">
      <alignment horizontal="center"/>
    </xf>
    <xf numFmtId="164" fontId="14" fillId="0" borderId="7" xfId="0" applyNumberFormat="1" applyFont="1" applyFill="1" applyBorder="1"/>
    <xf numFmtId="164" fontId="14" fillId="0" borderId="9" xfId="0" applyNumberFormat="1" applyFont="1" applyFill="1" applyBorder="1"/>
    <xf numFmtId="0" fontId="14" fillId="0" borderId="35" xfId="0" applyFont="1" applyFill="1" applyBorder="1"/>
    <xf numFmtId="164" fontId="14" fillId="0" borderId="25" xfId="0" applyNumberFormat="1" applyFont="1" applyFill="1" applyBorder="1"/>
    <xf numFmtId="164" fontId="14" fillId="0" borderId="29" xfId="0" applyNumberFormat="1" applyFont="1" applyFill="1" applyBorder="1"/>
    <xf numFmtId="0" fontId="14" fillId="0" borderId="16" xfId="0" applyFont="1" applyFill="1" applyBorder="1" applyAlignment="1">
      <alignment horizontal="center"/>
    </xf>
    <xf numFmtId="0" fontId="14" fillId="0" borderId="29" xfId="0" applyFont="1" applyFill="1" applyBorder="1" applyAlignment="1">
      <alignment horizontal="left"/>
    </xf>
    <xf numFmtId="16" fontId="14" fillId="0" borderId="1" xfId="0" applyNumberFormat="1" applyFont="1" applyFill="1" applyBorder="1" applyAlignment="1">
      <alignment horizontal="left"/>
    </xf>
    <xf numFmtId="0" fontId="14" fillId="0" borderId="60" xfId="0" applyFont="1" applyFill="1" applyBorder="1"/>
    <xf numFmtId="0" fontId="14" fillId="0" borderId="40" xfId="0" applyFont="1" applyFill="1" applyBorder="1" applyAlignment="1">
      <alignment horizontal="left"/>
    </xf>
    <xf numFmtId="164" fontId="14" fillId="0" borderId="60" xfId="0" applyNumberFormat="1" applyFont="1" applyFill="1" applyBorder="1"/>
    <xf numFmtId="164" fontId="14" fillId="0" borderId="38" xfId="0" applyNumberFormat="1" applyFont="1" applyFill="1" applyBorder="1"/>
    <xf numFmtId="164" fontId="14" fillId="0" borderId="23" xfId="0" applyNumberFormat="1" applyFont="1" applyFill="1" applyBorder="1"/>
    <xf numFmtId="0" fontId="13" fillId="0" borderId="1" xfId="0" applyFont="1" applyFill="1" applyBorder="1" applyAlignment="1">
      <alignment horizontal="left"/>
    </xf>
    <xf numFmtId="0" fontId="14" fillId="0" borderId="2" xfId="0" applyFont="1" applyFill="1" applyBorder="1" applyAlignment="1"/>
    <xf numFmtId="0" fontId="14" fillId="0" borderId="48" xfId="0" applyFont="1" applyFill="1" applyBorder="1" applyAlignment="1">
      <alignment horizontal="center"/>
    </xf>
    <xf numFmtId="0" fontId="14" fillId="0" borderId="58" xfId="0" applyFont="1" applyFill="1" applyBorder="1" applyAlignment="1">
      <alignment horizontal="left"/>
    </xf>
    <xf numFmtId="164" fontId="14" fillId="0" borderId="59" xfId="0" applyNumberFormat="1" applyFont="1" applyFill="1" applyBorder="1"/>
    <xf numFmtId="164" fontId="14" fillId="0" borderId="1" xfId="0" applyNumberFormat="1" applyFont="1" applyFill="1" applyBorder="1" applyAlignment="1">
      <alignment horizontal="center"/>
    </xf>
    <xf numFmtId="164" fontId="14" fillId="0" borderId="17" xfId="0" applyNumberFormat="1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0" fontId="14" fillId="0" borderId="50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4" fillId="0" borderId="50" xfId="0" applyFont="1" applyFill="1" applyBorder="1"/>
    <xf numFmtId="0" fontId="19" fillId="0" borderId="0" xfId="0" applyFont="1" applyFill="1"/>
    <xf numFmtId="0" fontId="19" fillId="0" borderId="0" xfId="0" applyFont="1"/>
    <xf numFmtId="0" fontId="14" fillId="0" borderId="15" xfId="0" applyFont="1" applyFill="1" applyBorder="1" applyAlignment="1">
      <alignment horizontal="right"/>
    </xf>
    <xf numFmtId="0" fontId="14" fillId="0" borderId="24" xfId="0" applyFont="1" applyFill="1" applyBorder="1" applyAlignment="1">
      <alignment horizontal="right"/>
    </xf>
    <xf numFmtId="0" fontId="14" fillId="0" borderId="23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right"/>
    </xf>
    <xf numFmtId="0" fontId="14" fillId="0" borderId="38" xfId="0" applyFont="1" applyFill="1" applyBorder="1" applyAlignment="1">
      <alignment horizontal="center"/>
    </xf>
    <xf numFmtId="0" fontId="14" fillId="0" borderId="66" xfId="0" applyFont="1" applyFill="1" applyBorder="1" applyAlignment="1">
      <alignment horizontal="right"/>
    </xf>
    <xf numFmtId="0" fontId="14" fillId="0" borderId="54" xfId="0" applyFont="1" applyFill="1" applyBorder="1" applyAlignment="1">
      <alignment horizontal="right"/>
    </xf>
    <xf numFmtId="0" fontId="14" fillId="0" borderId="30" xfId="0" applyFont="1" applyFill="1" applyBorder="1" applyAlignment="1">
      <alignment horizontal="center"/>
    </xf>
    <xf numFmtId="0" fontId="14" fillId="0" borderId="48" xfId="0" applyFont="1" applyFill="1" applyBorder="1" applyAlignment="1">
      <alignment horizontal="right"/>
    </xf>
    <xf numFmtId="0" fontId="14" fillId="0" borderId="49" xfId="0" applyFont="1" applyFill="1" applyBorder="1" applyAlignment="1">
      <alignment horizontal="right"/>
    </xf>
    <xf numFmtId="0" fontId="14" fillId="0" borderId="59" xfId="0" applyFont="1" applyFill="1" applyBorder="1" applyAlignment="1">
      <alignment horizontal="center"/>
    </xf>
    <xf numFmtId="0" fontId="14" fillId="0" borderId="60" xfId="0" applyFont="1" applyFill="1" applyBorder="1" applyAlignment="1">
      <alignment horizontal="right"/>
    </xf>
    <xf numFmtId="0" fontId="14" fillId="0" borderId="40" xfId="0" applyFont="1" applyFill="1" applyBorder="1" applyAlignment="1">
      <alignment horizontal="right"/>
    </xf>
    <xf numFmtId="0" fontId="14" fillId="0" borderId="58" xfId="0" applyFont="1" applyFill="1" applyBorder="1" applyAlignment="1">
      <alignment horizontal="center"/>
    </xf>
    <xf numFmtId="0" fontId="14" fillId="0" borderId="58" xfId="0" applyNumberFormat="1" applyFont="1" applyFill="1" applyBorder="1" applyAlignment="1">
      <alignment horizontal="right"/>
    </xf>
    <xf numFmtId="0" fontId="14" fillId="0" borderId="67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14" fillId="0" borderId="27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2" fontId="13" fillId="0" borderId="32" xfId="0" applyNumberFormat="1" applyFont="1" applyFill="1" applyBorder="1" applyAlignment="1">
      <alignment horizontal="right"/>
    </xf>
    <xf numFmtId="0" fontId="14" fillId="0" borderId="66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2" fontId="13" fillId="0" borderId="54" xfId="0" applyNumberFormat="1" applyFont="1" applyFill="1" applyBorder="1" applyAlignment="1">
      <alignment horizontal="center"/>
    </xf>
    <xf numFmtId="0" fontId="14" fillId="0" borderId="68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/>
    </xf>
    <xf numFmtId="0" fontId="14" fillId="0" borderId="45" xfId="0" applyFont="1" applyFill="1" applyBorder="1"/>
    <xf numFmtId="2" fontId="13" fillId="0" borderId="48" xfId="0" applyNumberFormat="1" applyFont="1" applyFill="1" applyBorder="1" applyAlignment="1">
      <alignment horizontal="center"/>
    </xf>
    <xf numFmtId="0" fontId="14" fillId="0" borderId="57" xfId="0" applyFont="1" applyFill="1" applyBorder="1" applyAlignment="1">
      <alignment horizontal="center"/>
    </xf>
    <xf numFmtId="2" fontId="13" fillId="0" borderId="60" xfId="0" applyNumberFormat="1" applyFont="1" applyFill="1" applyBorder="1" applyAlignment="1">
      <alignment horizontal="center"/>
    </xf>
    <xf numFmtId="2" fontId="13" fillId="0" borderId="58" xfId="0" applyNumberFormat="1" applyFont="1" applyFill="1" applyBorder="1" applyAlignment="1">
      <alignment horizontal="center"/>
    </xf>
    <xf numFmtId="0" fontId="14" fillId="0" borderId="49" xfId="0" applyFont="1" applyFill="1" applyBorder="1" applyAlignment="1">
      <alignment horizontal="center"/>
    </xf>
    <xf numFmtId="2" fontId="14" fillId="0" borderId="3" xfId="0" applyNumberFormat="1" applyFont="1" applyFill="1" applyBorder="1"/>
    <xf numFmtId="0" fontId="14" fillId="0" borderId="11" xfId="0" applyFont="1" applyFill="1" applyBorder="1" applyAlignment="1">
      <alignment horizontal="center"/>
    </xf>
    <xf numFmtId="0" fontId="14" fillId="0" borderId="55" xfId="0" applyFont="1" applyFill="1" applyBorder="1" applyAlignment="1">
      <alignment horizontal="center"/>
    </xf>
    <xf numFmtId="0" fontId="13" fillId="0" borderId="29" xfId="0" applyFont="1" applyFill="1" applyBorder="1"/>
    <xf numFmtId="2" fontId="13" fillId="0" borderId="29" xfId="0" applyNumberFormat="1" applyFont="1" applyFill="1" applyBorder="1" applyAlignment="1">
      <alignment horizontal="center"/>
    </xf>
    <xf numFmtId="0" fontId="13" fillId="0" borderId="41" xfId="0" applyFont="1" applyFill="1" applyBorder="1" applyAlignment="1">
      <alignment horizontal="center"/>
    </xf>
    <xf numFmtId="0" fontId="13" fillId="0" borderId="1" xfId="0" applyFont="1" applyFill="1" applyBorder="1"/>
    <xf numFmtId="2" fontId="13" fillId="0" borderId="1" xfId="0" applyNumberFormat="1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0" fontId="13" fillId="0" borderId="3" xfId="0" applyFont="1" applyFill="1" applyBorder="1"/>
    <xf numFmtId="0" fontId="13" fillId="0" borderId="11" xfId="0" applyFont="1" applyFill="1" applyBorder="1" applyAlignment="1">
      <alignment horizontal="center"/>
    </xf>
    <xf numFmtId="9" fontId="14" fillId="0" borderId="39" xfId="0" applyNumberFormat="1" applyFont="1" applyFill="1" applyBorder="1"/>
    <xf numFmtId="0" fontId="21" fillId="0" borderId="0" xfId="0" applyFont="1" applyFill="1"/>
    <xf numFmtId="2" fontId="14" fillId="0" borderId="2" xfId="0" applyNumberFormat="1" applyFont="1" applyFill="1" applyBorder="1"/>
    <xf numFmtId="0" fontId="14" fillId="0" borderId="18" xfId="0" applyFont="1" applyFill="1" applyBorder="1" applyAlignment="1">
      <alignment horizontal="center"/>
    </xf>
    <xf numFmtId="2" fontId="14" fillId="0" borderId="7" xfId="0" applyNumberFormat="1" applyFont="1" applyFill="1" applyBorder="1"/>
    <xf numFmtId="0" fontId="14" fillId="0" borderId="9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4" fillId="0" borderId="36" xfId="0" applyFont="1" applyFill="1" applyBorder="1" applyAlignment="1">
      <alignment horizontal="center"/>
    </xf>
    <xf numFmtId="0" fontId="14" fillId="0" borderId="26" xfId="0" applyFont="1" applyFill="1" applyBorder="1" applyAlignment="1">
      <alignment horizontal="right"/>
    </xf>
    <xf numFmtId="2" fontId="14" fillId="0" borderId="29" xfId="0" applyNumberFormat="1" applyFont="1" applyFill="1" applyBorder="1"/>
    <xf numFmtId="0" fontId="14" fillId="0" borderId="41" xfId="0" applyFont="1" applyFill="1" applyBorder="1" applyAlignment="1">
      <alignment horizontal="center"/>
    </xf>
    <xf numFmtId="0" fontId="14" fillId="0" borderId="69" xfId="0" applyFont="1" applyFill="1" applyBorder="1" applyAlignment="1">
      <alignment horizontal="right"/>
    </xf>
    <xf numFmtId="2" fontId="14" fillId="0" borderId="54" xfId="0" applyNumberFormat="1" applyFont="1" applyFill="1" applyBorder="1"/>
    <xf numFmtId="2" fontId="14" fillId="0" borderId="22" xfId="0" applyNumberFormat="1" applyFont="1" applyFill="1" applyBorder="1"/>
    <xf numFmtId="0" fontId="14" fillId="0" borderId="21" xfId="0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 textRotation="45"/>
    </xf>
    <xf numFmtId="0" fontId="2" fillId="0" borderId="53" xfId="0" applyFont="1" applyFill="1" applyBorder="1"/>
    <xf numFmtId="0" fontId="22" fillId="0" borderId="32" xfId="0" applyFont="1" applyFill="1" applyBorder="1" applyAlignment="1"/>
    <xf numFmtId="0" fontId="22" fillId="0" borderId="15" xfId="0" applyFont="1" applyFill="1" applyBorder="1"/>
    <xf numFmtId="0" fontId="22" fillId="0" borderId="53" xfId="0" applyFont="1" applyFill="1" applyBorder="1" applyAlignment="1">
      <alignment horizontal="center"/>
    </xf>
    <xf numFmtId="0" fontId="22" fillId="0" borderId="37" xfId="0" applyFont="1" applyFill="1" applyBorder="1"/>
    <xf numFmtId="0" fontId="22" fillId="0" borderId="48" xfId="0" applyFont="1" applyFill="1" applyBorder="1" applyAlignment="1"/>
    <xf numFmtId="0" fontId="22" fillId="0" borderId="30" xfId="0" applyFont="1" applyFill="1" applyBorder="1"/>
    <xf numFmtId="0" fontId="22" fillId="0" borderId="31" xfId="0" applyFont="1" applyFill="1" applyBorder="1" applyAlignment="1"/>
    <xf numFmtId="0" fontId="22" fillId="0" borderId="32" xfId="0" applyFont="1" applyFill="1" applyBorder="1"/>
    <xf numFmtId="0" fontId="22" fillId="0" borderId="48" xfId="0" applyFont="1" applyFill="1" applyBorder="1" applyAlignment="1">
      <alignment horizontal="center"/>
    </xf>
    <xf numFmtId="0" fontId="22" fillId="0" borderId="53" xfId="0" applyFont="1" applyFill="1" applyBorder="1" applyAlignment="1"/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right"/>
    </xf>
    <xf numFmtId="49" fontId="14" fillId="0" borderId="42" xfId="0" applyNumberFormat="1" applyFont="1" applyFill="1" applyBorder="1" applyAlignment="1">
      <alignment horizontal="right"/>
    </xf>
    <xf numFmtId="0" fontId="10" fillId="0" borderId="70" xfId="0" applyFont="1" applyFill="1" applyBorder="1" applyAlignment="1">
      <alignment horizontal="center"/>
    </xf>
    <xf numFmtId="0" fontId="24" fillId="0" borderId="3" xfId="0" applyFont="1" applyFill="1" applyBorder="1"/>
    <xf numFmtId="0" fontId="24" fillId="0" borderId="1" xfId="0" applyFont="1" applyFill="1" applyBorder="1"/>
    <xf numFmtId="0" fontId="24" fillId="0" borderId="1" xfId="0" applyFont="1" applyFill="1" applyBorder="1" applyAlignment="1">
      <alignment wrapText="1"/>
    </xf>
    <xf numFmtId="164" fontId="24" fillId="0" borderId="2" xfId="0" applyNumberFormat="1" applyFont="1" applyFill="1" applyBorder="1"/>
    <xf numFmtId="164" fontId="24" fillId="0" borderId="18" xfId="0" applyNumberFormat="1" applyFont="1" applyFill="1" applyBorder="1"/>
    <xf numFmtId="164" fontId="24" fillId="0" borderId="1" xfId="0" applyNumberFormat="1" applyFont="1" applyFill="1" applyBorder="1"/>
    <xf numFmtId="164" fontId="24" fillId="0" borderId="17" xfId="0" applyNumberFormat="1" applyFont="1" applyFill="1" applyBorder="1"/>
    <xf numFmtId="164" fontId="24" fillId="0" borderId="32" xfId="0" applyNumberFormat="1" applyFont="1" applyFill="1" applyBorder="1"/>
    <xf numFmtId="164" fontId="24" fillId="0" borderId="21" xfId="0" applyNumberFormat="1" applyFont="1" applyFill="1" applyBorder="1"/>
    <xf numFmtId="0" fontId="24" fillId="0" borderId="1" xfId="0" applyFont="1" applyFill="1" applyBorder="1" applyAlignment="1">
      <alignment horizontal="center"/>
    </xf>
    <xf numFmtId="164" fontId="24" fillId="0" borderId="54" xfId="0" applyNumberFormat="1" applyFont="1" applyFill="1" applyBorder="1"/>
    <xf numFmtId="0" fontId="24" fillId="0" borderId="1" xfId="0" applyFont="1" applyFill="1" applyBorder="1" applyAlignment="1">
      <alignment horizontal="left"/>
    </xf>
    <xf numFmtId="164" fontId="24" fillId="0" borderId="1" xfId="0" applyNumberFormat="1" applyFont="1" applyFill="1" applyBorder="1" applyAlignment="1">
      <alignment horizontal="right"/>
    </xf>
    <xf numFmtId="164" fontId="24" fillId="0" borderId="17" xfId="0" applyNumberFormat="1" applyFont="1" applyFill="1" applyBorder="1" applyAlignment="1">
      <alignment horizontal="right"/>
    </xf>
    <xf numFmtId="164" fontId="24" fillId="0" borderId="1" xfId="0" applyNumberFormat="1" applyFont="1" applyFill="1" applyBorder="1" applyAlignment="1"/>
    <xf numFmtId="164" fontId="24" fillId="0" borderId="17" xfId="0" applyNumberFormat="1" applyFont="1" applyFill="1" applyBorder="1" applyAlignment="1"/>
    <xf numFmtId="164" fontId="25" fillId="0" borderId="1" xfId="0" applyNumberFormat="1" applyFont="1" applyFill="1" applyBorder="1" applyAlignment="1">
      <alignment horizontal="center"/>
    </xf>
    <xf numFmtId="164" fontId="25" fillId="0" borderId="17" xfId="0" applyNumberFormat="1" applyFont="1" applyFill="1" applyBorder="1" applyAlignment="1">
      <alignment horizontal="center"/>
    </xf>
    <xf numFmtId="164" fontId="24" fillId="0" borderId="35" xfId="0" applyNumberFormat="1" applyFont="1" applyFill="1" applyBorder="1"/>
    <xf numFmtId="164" fontId="24" fillId="0" borderId="36" xfId="0" applyNumberFormat="1" applyFont="1" applyFill="1" applyBorder="1"/>
    <xf numFmtId="0" fontId="14" fillId="0" borderId="2" xfId="0" applyFont="1" applyFill="1" applyBorder="1" applyAlignment="1">
      <alignment wrapText="1"/>
    </xf>
    <xf numFmtId="0" fontId="24" fillId="0" borderId="1" xfId="0" applyFont="1" applyFill="1" applyBorder="1" applyAlignment="1">
      <alignment vertical="center" wrapText="1"/>
    </xf>
    <xf numFmtId="164" fontId="24" fillId="0" borderId="22" xfId="0" applyNumberFormat="1" applyFont="1" applyFill="1" applyBorder="1"/>
    <xf numFmtId="164" fontId="24" fillId="0" borderId="25" xfId="0" applyNumberFormat="1" applyFont="1" applyFill="1" applyBorder="1"/>
    <xf numFmtId="164" fontId="24" fillId="0" borderId="29" xfId="0" applyNumberFormat="1" applyFont="1" applyFill="1" applyBorder="1"/>
    <xf numFmtId="164" fontId="24" fillId="0" borderId="41" xfId="0" applyNumberFormat="1" applyFont="1" applyFill="1" applyBorder="1"/>
    <xf numFmtId="164" fontId="24" fillId="0" borderId="60" xfId="0" applyNumberFormat="1" applyFont="1" applyFill="1" applyBorder="1"/>
    <xf numFmtId="0" fontId="24" fillId="0" borderId="2" xfId="0" applyFont="1" applyFill="1" applyBorder="1"/>
    <xf numFmtId="0" fontId="24" fillId="0" borderId="18" xfId="0" applyFont="1" applyFill="1" applyBorder="1"/>
    <xf numFmtId="164" fontId="24" fillId="0" borderId="57" xfId="0" applyNumberFormat="1" applyFont="1" applyFill="1" applyBorder="1"/>
    <xf numFmtId="0" fontId="16" fillId="0" borderId="50" xfId="0" applyFont="1" applyFill="1" applyBorder="1" applyAlignment="1">
      <alignment horizontal="center"/>
    </xf>
    <xf numFmtId="0" fontId="16" fillId="0" borderId="2" xfId="0" applyFont="1" applyFill="1" applyBorder="1"/>
    <xf numFmtId="0" fontId="16" fillId="0" borderId="2" xfId="0" applyFont="1" applyFill="1" applyBorder="1" applyAlignment="1">
      <alignment horizontal="left"/>
    </xf>
    <xf numFmtId="164" fontId="16" fillId="0" borderId="2" xfId="0" applyNumberFormat="1" applyFont="1" applyFill="1" applyBorder="1"/>
    <xf numFmtId="164" fontId="16" fillId="0" borderId="18" xfId="0" applyNumberFormat="1" applyFont="1" applyFill="1" applyBorder="1"/>
    <xf numFmtId="0" fontId="16" fillId="0" borderId="5" xfId="0" applyFont="1" applyFill="1" applyBorder="1"/>
    <xf numFmtId="0" fontId="16" fillId="0" borderId="1" xfId="0" applyFont="1" applyFill="1" applyBorder="1"/>
    <xf numFmtId="0" fontId="16" fillId="0" borderId="1" xfId="0" applyFont="1" applyFill="1" applyBorder="1" applyAlignment="1">
      <alignment horizontal="left"/>
    </xf>
    <xf numFmtId="164" fontId="16" fillId="0" borderId="1" xfId="0" applyNumberFormat="1" applyFont="1" applyFill="1" applyBorder="1"/>
    <xf numFmtId="164" fontId="16" fillId="0" borderId="17" xfId="0" applyNumberFormat="1" applyFont="1" applyFill="1" applyBorder="1"/>
    <xf numFmtId="0" fontId="16" fillId="0" borderId="63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164" fontId="26" fillId="0" borderId="1" xfId="0" applyNumberFormat="1" applyFont="1" applyFill="1" applyBorder="1"/>
    <xf numFmtId="0" fontId="16" fillId="0" borderId="6" xfId="0" applyFont="1" applyFill="1" applyBorder="1"/>
    <xf numFmtId="0" fontId="16" fillId="0" borderId="3" xfId="0" applyFont="1" applyFill="1" applyBorder="1"/>
    <xf numFmtId="164" fontId="16" fillId="0" borderId="3" xfId="0" applyNumberFormat="1" applyFont="1" applyFill="1" applyBorder="1"/>
    <xf numFmtId="164" fontId="16" fillId="0" borderId="11" xfId="0" applyNumberFormat="1" applyFont="1" applyFill="1" applyBorder="1"/>
    <xf numFmtId="0" fontId="26" fillId="0" borderId="25" xfId="0" applyFont="1" applyFill="1" applyBorder="1"/>
    <xf numFmtId="0" fontId="16" fillId="0" borderId="25" xfId="0" applyFont="1" applyFill="1" applyBorder="1"/>
    <xf numFmtId="164" fontId="26" fillId="0" borderId="25" xfId="0" applyNumberFormat="1" applyFont="1" applyFill="1" applyBorder="1"/>
    <xf numFmtId="164" fontId="26" fillId="0" borderId="36" xfId="0" applyNumberFormat="1" applyFont="1" applyFill="1" applyBorder="1"/>
    <xf numFmtId="0" fontId="16" fillId="0" borderId="4" xfId="0" applyFont="1" applyFill="1" applyBorder="1" applyAlignment="1">
      <alignment horizontal="right"/>
    </xf>
    <xf numFmtId="164" fontId="26" fillId="0" borderId="2" xfId="0" applyNumberFormat="1" applyFont="1" applyFill="1" applyBorder="1"/>
    <xf numFmtId="164" fontId="26" fillId="0" borderId="18" xfId="0" applyNumberFormat="1" applyFont="1" applyFill="1" applyBorder="1"/>
    <xf numFmtId="0" fontId="16" fillId="0" borderId="16" xfId="0" applyFont="1" applyFill="1" applyBorder="1" applyAlignment="1">
      <alignment horizontal="right"/>
    </xf>
    <xf numFmtId="0" fontId="16" fillId="0" borderId="29" xfId="0" applyFont="1" applyFill="1" applyBorder="1"/>
    <xf numFmtId="164" fontId="26" fillId="0" borderId="29" xfId="0" applyNumberFormat="1" applyFont="1" applyFill="1" applyBorder="1"/>
    <xf numFmtId="164" fontId="26" fillId="0" borderId="41" xfId="0" applyNumberFormat="1" applyFont="1" applyFill="1" applyBorder="1"/>
    <xf numFmtId="0" fontId="26" fillId="0" borderId="1" xfId="0" applyFont="1" applyFill="1" applyBorder="1" applyAlignment="1">
      <alignment horizontal="center"/>
    </xf>
    <xf numFmtId="164" fontId="26" fillId="0" borderId="17" xfId="0" applyNumberFormat="1" applyFont="1" applyFill="1" applyBorder="1"/>
    <xf numFmtId="0" fontId="16" fillId="0" borderId="1" xfId="0" applyFont="1" applyFill="1" applyBorder="1" applyAlignment="1">
      <alignment horizontal="center"/>
    </xf>
    <xf numFmtId="164" fontId="26" fillId="0" borderId="1" xfId="0" applyNumberFormat="1" applyFont="1" applyFill="1" applyBorder="1" applyAlignment="1">
      <alignment horizontal="right"/>
    </xf>
    <xf numFmtId="164" fontId="26" fillId="0" borderId="17" xfId="0" applyNumberFormat="1" applyFont="1" applyFill="1" applyBorder="1" applyAlignment="1">
      <alignment horizontal="right"/>
    </xf>
    <xf numFmtId="0" fontId="16" fillId="0" borderId="1" xfId="0" applyFont="1" applyFill="1" applyBorder="1" applyAlignment="1"/>
    <xf numFmtId="164" fontId="16" fillId="0" borderId="1" xfId="0" applyNumberFormat="1" applyFont="1" applyFill="1" applyBorder="1" applyAlignment="1">
      <alignment horizontal="right"/>
    </xf>
    <xf numFmtId="164" fontId="16" fillId="0" borderId="17" xfId="0" applyNumberFormat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0" fontId="16" fillId="0" borderId="4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164" fontId="18" fillId="0" borderId="1" xfId="0" applyNumberFormat="1" applyFont="1" applyFill="1" applyBorder="1" applyAlignment="1">
      <alignment horizontal="center"/>
    </xf>
    <xf numFmtId="164" fontId="18" fillId="0" borderId="17" xfId="0" applyNumberFormat="1" applyFont="1" applyFill="1" applyBorder="1" applyAlignment="1">
      <alignment horizontal="center"/>
    </xf>
    <xf numFmtId="2" fontId="16" fillId="0" borderId="1" xfId="0" applyNumberFormat="1" applyFont="1" applyFill="1" applyBorder="1"/>
    <xf numFmtId="2" fontId="16" fillId="0" borderId="17" xfId="0" applyNumberFormat="1" applyFont="1" applyFill="1" applyBorder="1"/>
    <xf numFmtId="0" fontId="16" fillId="0" borderId="6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left"/>
    </xf>
    <xf numFmtId="164" fontId="16" fillId="0" borderId="3" xfId="0" applyNumberFormat="1" applyFont="1" applyFill="1" applyBorder="1" applyAlignment="1">
      <alignment horizontal="right"/>
    </xf>
    <xf numFmtId="164" fontId="16" fillId="0" borderId="11" xfId="0" applyNumberFormat="1" applyFont="1" applyFill="1" applyBorder="1" applyAlignment="1">
      <alignment horizontal="right"/>
    </xf>
    <xf numFmtId="0" fontId="16" fillId="0" borderId="0" xfId="0" applyFont="1" applyFill="1"/>
    <xf numFmtId="0" fontId="22" fillId="0" borderId="4" xfId="0" applyFont="1" applyFill="1" applyBorder="1" applyAlignment="1">
      <alignment horizontal="center" textRotation="45"/>
    </xf>
    <xf numFmtId="0" fontId="22" fillId="0" borderId="5" xfId="0" applyFont="1" applyFill="1" applyBorder="1" applyAlignment="1">
      <alignment horizontal="center" textRotation="45"/>
    </xf>
    <xf numFmtId="0" fontId="22" fillId="0" borderId="12" xfId="0" applyFont="1" applyFill="1" applyBorder="1" applyAlignment="1">
      <alignment horizontal="center" textRotation="45"/>
    </xf>
    <xf numFmtId="0" fontId="7" fillId="0" borderId="37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0" fontId="7" fillId="0" borderId="68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14" fillId="0" borderId="57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14" fillId="0" borderId="57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right"/>
    </xf>
    <xf numFmtId="0" fontId="14" fillId="0" borderId="27" xfId="0" applyFont="1" applyFill="1" applyBorder="1" applyAlignment="1">
      <alignment horizontal="right"/>
    </xf>
    <xf numFmtId="0" fontId="8" fillId="0" borderId="14" xfId="0" applyFont="1" applyFill="1" applyBorder="1" applyAlignment="1">
      <alignment horizontal="left" vertical="center" textRotation="45"/>
    </xf>
    <xf numFmtId="0" fontId="22" fillId="0" borderId="23" xfId="0" applyFont="1" applyFill="1" applyBorder="1" applyAlignment="1">
      <alignment horizontal="left" vertical="center" textRotation="45"/>
    </xf>
    <xf numFmtId="0" fontId="14" fillId="0" borderId="15" xfId="0" applyFont="1" applyFill="1" applyBorder="1" applyAlignment="1">
      <alignment horizontal="right"/>
    </xf>
    <xf numFmtId="0" fontId="14" fillId="0" borderId="24" xfId="0" applyFont="1" applyFill="1" applyBorder="1" applyAlignment="1">
      <alignment horizontal="right"/>
    </xf>
    <xf numFmtId="0" fontId="14" fillId="0" borderId="37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center"/>
    </xf>
    <xf numFmtId="0" fontId="14" fillId="0" borderId="68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2" fillId="0" borderId="60" xfId="0" applyFont="1" applyFill="1" applyBorder="1" applyAlignment="1">
      <alignment horizontal="left" vertical="center" textRotation="45"/>
    </xf>
    <xf numFmtId="0" fontId="22" fillId="0" borderId="16" xfId="0" applyFont="1" applyFill="1" applyBorder="1" applyAlignment="1">
      <alignment horizontal="center" textRotation="45"/>
    </xf>
    <xf numFmtId="0" fontId="22" fillId="0" borderId="4" xfId="0" applyFont="1" applyFill="1" applyBorder="1" applyAlignment="1">
      <alignment horizontal="center" textRotation="45" wrapText="1"/>
    </xf>
    <xf numFmtId="0" fontId="22" fillId="0" borderId="5" xfId="0" applyFont="1" applyFill="1" applyBorder="1" applyAlignment="1">
      <alignment horizontal="center" textRotation="45" wrapText="1"/>
    </xf>
    <xf numFmtId="0" fontId="22" fillId="0" borderId="6" xfId="0" applyFont="1" applyFill="1" applyBorder="1" applyAlignment="1">
      <alignment horizontal="center" textRotation="45" wrapText="1"/>
    </xf>
    <xf numFmtId="0" fontId="22" fillId="0" borderId="6" xfId="0" applyFont="1" applyFill="1" applyBorder="1" applyAlignment="1">
      <alignment horizontal="center" textRotation="45"/>
    </xf>
    <xf numFmtId="0" fontId="22" fillId="0" borderId="15" xfId="0" applyFont="1" applyFill="1" applyBorder="1" applyAlignment="1">
      <alignment horizontal="center" textRotation="45"/>
    </xf>
    <xf numFmtId="0" fontId="22" fillId="0" borderId="30" xfId="0" applyFont="1" applyFill="1" applyBorder="1" applyAlignment="1">
      <alignment horizontal="center" textRotation="45"/>
    </xf>
    <xf numFmtId="0" fontId="22" fillId="0" borderId="31" xfId="0" applyFont="1" applyFill="1" applyBorder="1" applyAlignment="1">
      <alignment horizontal="center" textRotation="45"/>
    </xf>
    <xf numFmtId="0" fontId="1" fillId="0" borderId="0" xfId="0" applyFont="1" applyFill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7" fillId="0" borderId="66" xfId="0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 vertical="center" textRotation="45" wrapText="1"/>
    </xf>
    <xf numFmtId="0" fontId="14" fillId="0" borderId="31" xfId="0" applyFont="1" applyFill="1" applyBorder="1" applyAlignment="1">
      <alignment horizontal="right"/>
    </xf>
    <xf numFmtId="0" fontId="14" fillId="0" borderId="57" xfId="0" applyFont="1" applyFill="1" applyBorder="1" applyAlignment="1">
      <alignment horizontal="right"/>
    </xf>
    <xf numFmtId="0" fontId="14" fillId="0" borderId="66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/>
    </xf>
    <xf numFmtId="0" fontId="14" fillId="0" borderId="27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 textRotation="45"/>
    </xf>
    <xf numFmtId="0" fontId="22" fillId="0" borderId="23" xfId="0" applyFont="1" applyFill="1" applyBorder="1" applyAlignment="1">
      <alignment horizontal="center" textRotation="45"/>
    </xf>
    <xf numFmtId="0" fontId="8" fillId="0" borderId="14" xfId="0" applyFont="1" applyFill="1" applyBorder="1" applyAlignment="1">
      <alignment horizontal="center" vertical="center" textRotation="45"/>
    </xf>
    <xf numFmtId="0" fontId="22" fillId="0" borderId="23" xfId="0" applyFont="1" applyFill="1" applyBorder="1" applyAlignment="1">
      <alignment horizontal="center" vertical="center" textRotation="45"/>
    </xf>
    <xf numFmtId="0" fontId="22" fillId="0" borderId="35" xfId="0" applyFont="1" applyFill="1" applyBorder="1" applyAlignment="1">
      <alignment horizontal="center" textRotation="45"/>
    </xf>
    <xf numFmtId="0" fontId="22" fillId="0" borderId="32" xfId="0" applyFont="1" applyFill="1" applyBorder="1" applyAlignment="1">
      <alignment horizontal="center" textRotation="45"/>
    </xf>
    <xf numFmtId="0" fontId="22" fillId="0" borderId="48" xfId="0" applyFont="1" applyFill="1" applyBorder="1" applyAlignment="1">
      <alignment horizontal="center" textRotation="45"/>
    </xf>
    <xf numFmtId="0" fontId="22" fillId="0" borderId="35" xfId="0" applyFont="1" applyFill="1" applyBorder="1" applyAlignment="1">
      <alignment horizontal="center" textRotation="45" wrapText="1"/>
    </xf>
    <xf numFmtId="0" fontId="22" fillId="0" borderId="32" xfId="0" applyFont="1" applyFill="1" applyBorder="1" applyAlignment="1">
      <alignment horizontal="center" textRotation="45" wrapText="1"/>
    </xf>
    <xf numFmtId="0" fontId="22" fillId="0" borderId="48" xfId="0" applyFont="1" applyFill="1" applyBorder="1" applyAlignment="1">
      <alignment horizontal="center" textRotation="45" wrapText="1"/>
    </xf>
    <xf numFmtId="0" fontId="22" fillId="0" borderId="16" xfId="0" applyFont="1" applyFill="1" applyBorder="1" applyAlignment="1">
      <alignment textRotation="45" wrapText="1"/>
    </xf>
    <xf numFmtId="0" fontId="22" fillId="0" borderId="5" xfId="0" applyFont="1" applyFill="1" applyBorder="1" applyAlignment="1">
      <alignment textRotation="45" wrapText="1"/>
    </xf>
    <xf numFmtId="0" fontId="22" fillId="0" borderId="6" xfId="0" applyFont="1" applyFill="1" applyBorder="1" applyAlignment="1">
      <alignment textRotation="45" wrapText="1"/>
    </xf>
    <xf numFmtId="0" fontId="22" fillId="0" borderId="15" xfId="0" applyFont="1" applyFill="1" applyBorder="1" applyAlignment="1">
      <alignment textRotation="45" wrapText="1"/>
    </xf>
    <xf numFmtId="0" fontId="22" fillId="0" borderId="30" xfId="0" applyFont="1" applyFill="1" applyBorder="1" applyAlignment="1">
      <alignment textRotation="45" wrapText="1"/>
    </xf>
    <xf numFmtId="0" fontId="22" fillId="0" borderId="31" xfId="0" applyFont="1" applyFill="1" applyBorder="1" applyAlignment="1">
      <alignment textRotation="45" wrapText="1"/>
    </xf>
    <xf numFmtId="0" fontId="22" fillId="0" borderId="35" xfId="0" applyFont="1" applyFill="1" applyBorder="1" applyAlignment="1">
      <alignment horizontal="left"/>
    </xf>
    <xf numFmtId="0" fontId="22" fillId="0" borderId="32" xfId="0" applyFont="1" applyFill="1" applyBorder="1" applyAlignment="1">
      <alignment horizontal="left"/>
    </xf>
    <xf numFmtId="2" fontId="1" fillId="0" borderId="36" xfId="0" applyNumberFormat="1" applyFont="1" applyFill="1" applyBorder="1" applyAlignment="1">
      <alignment horizontal="center" wrapText="1"/>
    </xf>
    <xf numFmtId="2" fontId="1" fillId="0" borderId="21" xfId="0" applyNumberFormat="1" applyFont="1" applyFill="1" applyBorder="1" applyAlignment="1">
      <alignment horizontal="center" wrapText="1"/>
    </xf>
    <xf numFmtId="2" fontId="1" fillId="0" borderId="49" xfId="0" applyNumberFormat="1" applyFont="1" applyFill="1" applyBorder="1" applyAlignment="1">
      <alignment horizontal="center" wrapText="1"/>
    </xf>
    <xf numFmtId="164" fontId="2" fillId="0" borderId="25" xfId="0" applyNumberFormat="1" applyFont="1" applyFill="1" applyBorder="1" applyAlignment="1">
      <alignment horizontal="center" wrapText="1"/>
    </xf>
    <xf numFmtId="164" fontId="2" fillId="0" borderId="29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/>
    </xf>
    <xf numFmtId="164" fontId="2" fillId="0" borderId="50" xfId="0" applyNumberFormat="1" applyFont="1" applyFill="1" applyBorder="1" applyAlignment="1">
      <alignment horizontal="center" wrapText="1"/>
    </xf>
    <xf numFmtId="164" fontId="2" fillId="0" borderId="63" xfId="0" applyNumberFormat="1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49" fontId="9" fillId="0" borderId="15" xfId="0" applyNumberFormat="1" applyFont="1" applyFill="1" applyBorder="1" applyAlignment="1">
      <alignment horizontal="left"/>
    </xf>
    <xf numFmtId="49" fontId="9" fillId="0" borderId="24" xfId="0" applyNumberFormat="1" applyFont="1" applyFill="1" applyBorder="1" applyAlignment="1">
      <alignment horizontal="left"/>
    </xf>
    <xf numFmtId="0" fontId="16" fillId="0" borderId="15" xfId="0" applyFont="1" applyFill="1" applyBorder="1" applyAlignment="1">
      <alignment horizontal="center" vertical="center" textRotation="90"/>
    </xf>
    <xf numFmtId="0" fontId="16" fillId="0" borderId="30" xfId="0" applyFont="1" applyFill="1" applyBorder="1" applyAlignment="1">
      <alignment horizontal="center" vertical="center" textRotation="90"/>
    </xf>
    <xf numFmtId="0" fontId="16" fillId="0" borderId="31" xfId="0" applyFont="1" applyFill="1" applyBorder="1" applyAlignment="1">
      <alignment horizontal="center" vertical="center" textRotation="90"/>
    </xf>
    <xf numFmtId="0" fontId="15" fillId="0" borderId="0" xfId="0" applyFont="1" applyFill="1" applyBorder="1" applyAlignment="1">
      <alignment horizontal="center"/>
    </xf>
    <xf numFmtId="0" fontId="15" fillId="0" borderId="40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0" fontId="16" fillId="0" borderId="33" xfId="0" applyFont="1" applyFill="1" applyBorder="1" applyAlignment="1">
      <alignment horizontal="center" textRotation="90"/>
    </xf>
    <xf numFmtId="0" fontId="16" fillId="0" borderId="34" xfId="0" applyFont="1" applyFill="1" applyBorder="1" applyAlignment="1">
      <alignment horizontal="center" textRotation="90"/>
    </xf>
    <xf numFmtId="0" fontId="16" fillId="0" borderId="61" xfId="0" applyFont="1" applyFill="1" applyBorder="1" applyAlignment="1">
      <alignment horizontal="center" textRotation="90"/>
    </xf>
    <xf numFmtId="0" fontId="16" fillId="0" borderId="14" xfId="0" applyFont="1" applyFill="1" applyBorder="1" applyAlignment="1">
      <alignment horizontal="center" textRotation="86"/>
    </xf>
    <xf numFmtId="0" fontId="16" fillId="0" borderId="23" xfId="0" applyFont="1" applyFill="1" applyBorder="1" applyAlignment="1">
      <alignment horizontal="center" textRotation="86"/>
    </xf>
    <xf numFmtId="0" fontId="16" fillId="0" borderId="30" xfId="0" applyFont="1" applyFill="1" applyBorder="1" applyAlignment="1">
      <alignment horizontal="center" textRotation="86"/>
    </xf>
    <xf numFmtId="0" fontId="16" fillId="0" borderId="31" xfId="0" applyFont="1" applyFill="1" applyBorder="1" applyAlignment="1">
      <alignment horizontal="center" textRotation="86"/>
    </xf>
    <xf numFmtId="49" fontId="9" fillId="0" borderId="66" xfId="0" applyNumberFormat="1" applyFont="1" applyFill="1" applyBorder="1" applyAlignment="1">
      <alignment horizontal="left"/>
    </xf>
    <xf numFmtId="49" fontId="9" fillId="0" borderId="35" xfId="0" applyNumberFormat="1" applyFont="1" applyFill="1" applyBorder="1" applyAlignment="1">
      <alignment horizontal="left"/>
    </xf>
    <xf numFmtId="49" fontId="9" fillId="0" borderId="36" xfId="0" applyNumberFormat="1" applyFont="1" applyFill="1" applyBorder="1" applyAlignment="1">
      <alignment horizontal="left"/>
    </xf>
    <xf numFmtId="0" fontId="13" fillId="0" borderId="14" xfId="0" applyFont="1" applyFill="1" applyBorder="1" applyAlignment="1">
      <alignment horizontal="center" vertical="center"/>
    </xf>
    <xf numFmtId="0" fontId="13" fillId="0" borderId="60" xfId="0" applyFont="1" applyFill="1" applyBorder="1" applyAlignment="1">
      <alignment horizontal="center" vertical="center"/>
    </xf>
    <xf numFmtId="164" fontId="14" fillId="0" borderId="37" xfId="0" applyNumberFormat="1" applyFont="1" applyFill="1" applyBorder="1" applyAlignment="1">
      <alignment horizontal="center"/>
    </xf>
    <xf numFmtId="164" fontId="14" fillId="0" borderId="68" xfId="0" applyNumberFormat="1" applyFont="1" applyFill="1" applyBorder="1" applyAlignment="1">
      <alignment horizontal="center"/>
    </xf>
    <xf numFmtId="164" fontId="14" fillId="0" borderId="39" xfId="0" applyNumberFormat="1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/>
    </xf>
    <xf numFmtId="164" fontId="14" fillId="0" borderId="31" xfId="0" applyNumberFormat="1" applyFont="1" applyFill="1" applyBorder="1" applyAlignment="1">
      <alignment horizontal="center"/>
    </xf>
    <xf numFmtId="164" fontId="14" fillId="0" borderId="57" xfId="0" applyNumberFormat="1" applyFont="1" applyFill="1" applyBorder="1" applyAlignment="1">
      <alignment horizontal="center"/>
    </xf>
    <xf numFmtId="164" fontId="14" fillId="0" borderId="40" xfId="0" applyNumberFormat="1" applyFont="1" applyFill="1" applyBorder="1" applyAlignment="1">
      <alignment horizontal="center"/>
    </xf>
    <xf numFmtId="0" fontId="13" fillId="0" borderId="35" xfId="0" applyFont="1" applyFill="1" applyBorder="1" applyAlignment="1">
      <alignment horizontal="center"/>
    </xf>
    <xf numFmtId="0" fontId="13" fillId="0" borderId="48" xfId="0" applyFont="1" applyFill="1" applyBorder="1" applyAlignment="1">
      <alignment horizontal="center"/>
    </xf>
    <xf numFmtId="164" fontId="14" fillId="0" borderId="2" xfId="0" applyNumberFormat="1" applyFont="1" applyFill="1" applyBorder="1" applyAlignment="1">
      <alignment horizontal="center"/>
    </xf>
    <xf numFmtId="164" fontId="14" fillId="0" borderId="18" xfId="0" applyNumberFormat="1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3" fillId="0" borderId="60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left" wrapText="1"/>
    </xf>
    <xf numFmtId="0" fontId="14" fillId="0" borderId="32" xfId="0" applyFont="1" applyFill="1" applyBorder="1" applyAlignment="1">
      <alignment horizontal="left" wrapText="1"/>
    </xf>
    <xf numFmtId="0" fontId="14" fillId="0" borderId="32" xfId="0" applyFont="1" applyFill="1" applyBorder="1" applyAlignment="1">
      <alignment wrapText="1"/>
    </xf>
    <xf numFmtId="0" fontId="14" fillId="0" borderId="16" xfId="0" applyFont="1" applyFill="1" applyBorder="1" applyAlignment="1">
      <alignment wrapText="1"/>
    </xf>
    <xf numFmtId="0" fontId="13" fillId="0" borderId="32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14" fillId="0" borderId="6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8"/>
  <sheetViews>
    <sheetView view="pageLayout" topLeftCell="A7" zoomScaleNormal="100" zoomScaleSheetLayoutView="100" workbookViewId="0">
      <selection activeCell="B162" sqref="B162"/>
    </sheetView>
  </sheetViews>
  <sheetFormatPr defaultRowHeight="13" x14ac:dyDescent="0.3"/>
  <cols>
    <col min="1" max="1" width="5.7265625" style="251" customWidth="1"/>
    <col min="2" max="2" width="33.26953125" style="98" customWidth="1"/>
    <col min="3" max="4" width="8.54296875" style="344" customWidth="1"/>
    <col min="5" max="14" width="7.7265625" style="98" customWidth="1"/>
    <col min="15" max="15" width="7.7265625" style="128" customWidth="1"/>
    <col min="16" max="19" width="9.1796875" style="19" customWidth="1"/>
    <col min="20" max="21" width="9.1796875" style="190" customWidth="1"/>
  </cols>
  <sheetData>
    <row r="1" spans="1:21" ht="12.5" x14ac:dyDescent="0.25">
      <c r="A1" s="512" t="s">
        <v>166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10"/>
      <c r="Q1" s="10"/>
      <c r="R1" s="10"/>
      <c r="S1" s="10"/>
      <c r="T1" s="194"/>
      <c r="U1" s="194"/>
    </row>
    <row r="2" spans="1:21" ht="12.5" x14ac:dyDescent="0.25">
      <c r="A2" s="512" t="s">
        <v>167</v>
      </c>
      <c r="B2" s="512"/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10"/>
      <c r="Q2" s="10"/>
      <c r="R2" s="10"/>
      <c r="S2" s="10"/>
      <c r="T2" s="194"/>
      <c r="U2" s="194"/>
    </row>
    <row r="3" spans="1:21" ht="15" customHeight="1" thickBot="1" x14ac:dyDescent="0.35">
      <c r="A3" s="513" t="s">
        <v>511</v>
      </c>
      <c r="B3" s="513"/>
      <c r="C3" s="513"/>
      <c r="D3" s="513"/>
      <c r="E3" s="513"/>
      <c r="F3" s="513"/>
      <c r="G3" s="513"/>
      <c r="H3" s="513"/>
      <c r="I3" s="513"/>
      <c r="J3" s="513"/>
      <c r="K3" s="513"/>
      <c r="L3" s="513"/>
      <c r="M3" s="513"/>
      <c r="N3" s="513"/>
      <c r="O3" s="513"/>
      <c r="P3" s="11"/>
      <c r="Q3" s="11"/>
      <c r="R3" s="11"/>
      <c r="S3" s="11"/>
      <c r="T3" s="196"/>
      <c r="U3" s="196"/>
    </row>
    <row r="4" spans="1:21" ht="15" customHeight="1" thickBot="1" x14ac:dyDescent="0.4">
      <c r="A4" s="483" t="s">
        <v>197</v>
      </c>
      <c r="B4" s="484"/>
      <c r="C4" s="514"/>
      <c r="D4" s="484"/>
      <c r="E4" s="484"/>
      <c r="F4" s="484"/>
      <c r="G4" s="484"/>
      <c r="H4" s="484"/>
      <c r="I4" s="484"/>
      <c r="J4" s="484"/>
      <c r="K4" s="484"/>
      <c r="L4" s="484"/>
      <c r="M4" s="484"/>
      <c r="N4" s="484"/>
      <c r="O4" s="485"/>
      <c r="P4" s="192"/>
      <c r="Q4" s="192"/>
      <c r="R4" s="192"/>
      <c r="S4" s="192"/>
      <c r="T4" s="193"/>
      <c r="U4" s="193"/>
    </row>
    <row r="5" spans="1:21" ht="11.9" customHeight="1" thickBot="1" x14ac:dyDescent="0.35">
      <c r="A5" s="494" t="s">
        <v>183</v>
      </c>
      <c r="B5" s="102" t="s">
        <v>79</v>
      </c>
      <c r="C5" s="496" t="s">
        <v>81</v>
      </c>
      <c r="D5" s="497"/>
      <c r="E5" s="498" t="s">
        <v>111</v>
      </c>
      <c r="F5" s="499"/>
      <c r="G5" s="499"/>
      <c r="H5" s="499"/>
      <c r="I5" s="499"/>
      <c r="J5" s="500"/>
      <c r="K5" s="488" t="s">
        <v>182</v>
      </c>
      <c r="L5" s="489"/>
      <c r="M5" s="488" t="s">
        <v>85</v>
      </c>
      <c r="N5" s="489"/>
      <c r="O5" s="501" t="s">
        <v>247</v>
      </c>
    </row>
    <row r="6" spans="1:21" ht="11.9" customHeight="1" thickBot="1" x14ac:dyDescent="0.35">
      <c r="A6" s="495"/>
      <c r="B6" s="330" t="s">
        <v>80</v>
      </c>
      <c r="C6" s="516" t="s">
        <v>80</v>
      </c>
      <c r="D6" s="517"/>
      <c r="E6" s="521" t="s">
        <v>82</v>
      </c>
      <c r="F6" s="522"/>
      <c r="G6" s="486" t="s">
        <v>83</v>
      </c>
      <c r="H6" s="487"/>
      <c r="I6" s="486" t="s">
        <v>84</v>
      </c>
      <c r="J6" s="487"/>
      <c r="K6" s="490"/>
      <c r="L6" s="491"/>
      <c r="M6" s="490"/>
      <c r="N6" s="491"/>
      <c r="O6" s="502"/>
    </row>
    <row r="7" spans="1:21" ht="11.9" customHeight="1" thickBot="1" x14ac:dyDescent="0.35">
      <c r="A7" s="495"/>
      <c r="B7" s="100"/>
      <c r="C7" s="331" t="s">
        <v>180</v>
      </c>
      <c r="D7" s="331" t="s">
        <v>181</v>
      </c>
      <c r="E7" s="346" t="s">
        <v>180</v>
      </c>
      <c r="F7" s="346" t="s">
        <v>181</v>
      </c>
      <c r="G7" s="346" t="s">
        <v>180</v>
      </c>
      <c r="H7" s="346" t="s">
        <v>181</v>
      </c>
      <c r="I7" s="346" t="s">
        <v>180</v>
      </c>
      <c r="J7" s="346" t="s">
        <v>181</v>
      </c>
      <c r="K7" s="346" t="s">
        <v>180</v>
      </c>
      <c r="L7" s="346" t="s">
        <v>181</v>
      </c>
      <c r="M7" s="346" t="s">
        <v>180</v>
      </c>
      <c r="N7" s="346" t="s">
        <v>181</v>
      </c>
      <c r="O7" s="502"/>
    </row>
    <row r="8" spans="1:21" s="327" customFormat="1" ht="12" customHeight="1" x14ac:dyDescent="0.3">
      <c r="A8" s="480" t="s">
        <v>86</v>
      </c>
      <c r="B8" s="44" t="s">
        <v>367</v>
      </c>
      <c r="C8" s="59">
        <v>160</v>
      </c>
      <c r="D8" s="63">
        <v>210</v>
      </c>
      <c r="E8" s="373">
        <v>4.05</v>
      </c>
      <c r="F8" s="373">
        <v>5.35</v>
      </c>
      <c r="G8" s="373">
        <v>2.06</v>
      </c>
      <c r="H8" s="373">
        <v>2.75</v>
      </c>
      <c r="I8" s="373">
        <v>25.19</v>
      </c>
      <c r="J8" s="373">
        <v>31.95</v>
      </c>
      <c r="K8" s="373">
        <v>135</v>
      </c>
      <c r="L8" s="373">
        <v>174</v>
      </c>
      <c r="M8" s="373">
        <v>0</v>
      </c>
      <c r="N8" s="373">
        <v>0</v>
      </c>
      <c r="O8" s="374">
        <v>168</v>
      </c>
      <c r="P8" s="326"/>
      <c r="Q8" s="326"/>
      <c r="R8" s="326"/>
      <c r="S8" s="326"/>
    </row>
    <row r="9" spans="1:21" s="327" customFormat="1" ht="12" customHeight="1" x14ac:dyDescent="0.3">
      <c r="A9" s="481"/>
      <c r="B9" s="22" t="s">
        <v>473</v>
      </c>
      <c r="C9" s="58">
        <v>24</v>
      </c>
      <c r="D9" s="64">
        <v>30</v>
      </c>
      <c r="E9" s="271">
        <f>7.5*24/100</f>
        <v>1.8</v>
      </c>
      <c r="F9" s="271">
        <f>7.5*30/100</f>
        <v>2.25</v>
      </c>
      <c r="G9" s="271">
        <f>2.9*24/1000</f>
        <v>6.9599999999999995E-2</v>
      </c>
      <c r="H9" s="271">
        <f>2.9*30/1000</f>
        <v>8.6999999999999994E-2</v>
      </c>
      <c r="I9" s="271">
        <f>51.4*24/100</f>
        <v>12.335999999999999</v>
      </c>
      <c r="J9" s="271">
        <f>51.4*30/100</f>
        <v>15.42</v>
      </c>
      <c r="K9" s="271">
        <f>262*24/100</f>
        <v>62.88</v>
      </c>
      <c r="L9" s="271">
        <f>262*30/100</f>
        <v>78.599999999999994</v>
      </c>
      <c r="M9" s="271">
        <f>0</f>
        <v>0</v>
      </c>
      <c r="N9" s="271">
        <v>0</v>
      </c>
      <c r="O9" s="322" t="s">
        <v>505</v>
      </c>
      <c r="P9" s="326"/>
      <c r="Q9" s="326"/>
      <c r="R9" s="326"/>
      <c r="S9" s="326"/>
    </row>
    <row r="10" spans="1:21" s="327" customFormat="1" ht="12" customHeight="1" x14ac:dyDescent="0.3">
      <c r="A10" s="482"/>
      <c r="B10" s="22" t="s">
        <v>29</v>
      </c>
      <c r="C10" s="24">
        <v>10</v>
      </c>
      <c r="D10" s="25">
        <v>10</v>
      </c>
      <c r="E10" s="375">
        <v>0.08</v>
      </c>
      <c r="F10" s="375">
        <v>0.08</v>
      </c>
      <c r="G10" s="375">
        <v>7.25</v>
      </c>
      <c r="H10" s="375">
        <v>7.25</v>
      </c>
      <c r="I10" s="375">
        <v>0.13</v>
      </c>
      <c r="J10" s="375">
        <v>0.13</v>
      </c>
      <c r="K10" s="375">
        <v>66</v>
      </c>
      <c r="L10" s="375">
        <v>66</v>
      </c>
      <c r="M10" s="375">
        <v>0</v>
      </c>
      <c r="N10" s="375">
        <v>0</v>
      </c>
      <c r="O10" s="376">
        <v>6</v>
      </c>
      <c r="P10" s="326"/>
      <c r="Q10" s="326"/>
      <c r="R10" s="326"/>
      <c r="S10" s="326"/>
    </row>
    <row r="11" spans="1:21" s="327" customFormat="1" ht="12" customHeight="1" thickBot="1" x14ac:dyDescent="0.35">
      <c r="A11" s="482"/>
      <c r="B11" s="26" t="s">
        <v>74</v>
      </c>
      <c r="C11" s="31">
        <v>150</v>
      </c>
      <c r="D11" s="144">
        <v>180</v>
      </c>
      <c r="E11" s="375">
        <v>2.34</v>
      </c>
      <c r="F11" s="375">
        <v>2.85</v>
      </c>
      <c r="G11" s="375">
        <v>2</v>
      </c>
      <c r="H11" s="375">
        <v>2.41</v>
      </c>
      <c r="I11" s="375">
        <v>10.63</v>
      </c>
      <c r="J11" s="375">
        <v>14.36</v>
      </c>
      <c r="K11" s="375">
        <v>70</v>
      </c>
      <c r="L11" s="375">
        <v>91</v>
      </c>
      <c r="M11" s="375">
        <v>0.98</v>
      </c>
      <c r="N11" s="375">
        <v>1.17</v>
      </c>
      <c r="O11" s="376">
        <v>395</v>
      </c>
      <c r="P11" s="326"/>
      <c r="Q11" s="326"/>
      <c r="R11" s="326"/>
      <c r="S11" s="326"/>
    </row>
    <row r="12" spans="1:21" s="327" customFormat="1" ht="12" customHeight="1" thickBot="1" x14ac:dyDescent="0.35">
      <c r="A12" s="387" t="s">
        <v>88</v>
      </c>
      <c r="B12" s="71" t="s">
        <v>89</v>
      </c>
      <c r="C12" s="106">
        <v>200</v>
      </c>
      <c r="D12" s="106">
        <v>200</v>
      </c>
      <c r="E12" s="377">
        <f>0.45*200/150</f>
        <v>0.6</v>
      </c>
      <c r="F12" s="377">
        <f>0.45*200/150</f>
        <v>0.6</v>
      </c>
      <c r="G12" s="377">
        <f>0.15*200/150</f>
        <v>0.2</v>
      </c>
      <c r="H12" s="377">
        <f>0.15*200/150</f>
        <v>0.2</v>
      </c>
      <c r="I12" s="377">
        <f>22.8*200/150</f>
        <v>30.4</v>
      </c>
      <c r="J12" s="377">
        <f>22.8*200/150</f>
        <v>30.4</v>
      </c>
      <c r="K12" s="377">
        <f>94*200/150</f>
        <v>125.33333333333333</v>
      </c>
      <c r="L12" s="377">
        <f>94*200/150</f>
        <v>125.33333333333333</v>
      </c>
      <c r="M12" s="377">
        <f>6*200/150</f>
        <v>8</v>
      </c>
      <c r="N12" s="377">
        <f>6*200/150</f>
        <v>8</v>
      </c>
      <c r="O12" s="378">
        <v>399</v>
      </c>
      <c r="P12" s="326"/>
      <c r="Q12" s="326"/>
      <c r="R12" s="326"/>
      <c r="S12" s="326"/>
    </row>
    <row r="13" spans="1:21" s="327" customFormat="1" ht="12" customHeight="1" x14ac:dyDescent="0.3">
      <c r="A13" s="515" t="s">
        <v>90</v>
      </c>
      <c r="B13" s="44" t="s">
        <v>368</v>
      </c>
      <c r="C13" s="59">
        <v>45</v>
      </c>
      <c r="D13" s="63">
        <v>60</v>
      </c>
      <c r="E13" s="373">
        <f>9.06*45/1000</f>
        <v>0.40770000000000006</v>
      </c>
      <c r="F13" s="373">
        <f>9.06*60/1000</f>
        <v>0.54359999999999997</v>
      </c>
      <c r="G13" s="373">
        <f>47.02*45/1000</f>
        <v>2.1158999999999999</v>
      </c>
      <c r="H13" s="373">
        <f>47.02*60/1000</f>
        <v>2.8212000000000002</v>
      </c>
      <c r="I13" s="373">
        <f>59.24*45/1000</f>
        <v>2.6658000000000004</v>
      </c>
      <c r="J13" s="373">
        <f>59.24*60/1000</f>
        <v>3.5544000000000002</v>
      </c>
      <c r="K13" s="373">
        <f>696*45/1000</f>
        <v>31.32</v>
      </c>
      <c r="L13" s="373">
        <f>696*60/1000</f>
        <v>41.76</v>
      </c>
      <c r="M13" s="373">
        <f>55.23*45/1000</f>
        <v>2.4853499999999999</v>
      </c>
      <c r="N13" s="373">
        <f>55.23*60/1000</f>
        <v>3.3137999999999996</v>
      </c>
      <c r="O13" s="374">
        <v>53</v>
      </c>
      <c r="P13" s="326"/>
      <c r="Q13" s="326"/>
      <c r="R13" s="326"/>
      <c r="S13" s="326"/>
    </row>
    <row r="14" spans="1:21" s="327" customFormat="1" ht="12" customHeight="1" x14ac:dyDescent="0.3">
      <c r="A14" s="515"/>
      <c r="B14" s="22" t="s">
        <v>147</v>
      </c>
      <c r="C14" s="24">
        <v>200</v>
      </c>
      <c r="D14" s="25">
        <v>250</v>
      </c>
      <c r="E14" s="271">
        <f>34.39*200/1000</f>
        <v>6.8780000000000001</v>
      </c>
      <c r="F14" s="271">
        <f>34.39*250/1000</f>
        <v>8.5975000000000001</v>
      </c>
      <c r="G14" s="271">
        <f>33.62*200/1000</f>
        <v>6.7239999999999993</v>
      </c>
      <c r="H14" s="271">
        <f>33.62*250/1000</f>
        <v>8.4049999999999994</v>
      </c>
      <c r="I14" s="271">
        <f>57.33*200/1000</f>
        <v>11.465999999999999</v>
      </c>
      <c r="J14" s="271">
        <f>57.33*250/1000</f>
        <v>14.3325</v>
      </c>
      <c r="K14" s="271">
        <f>669*200/1000</f>
        <v>133.80000000000001</v>
      </c>
      <c r="L14" s="271">
        <f>669*250/1000</f>
        <v>167.25</v>
      </c>
      <c r="M14" s="271">
        <f>36.45*200/1000</f>
        <v>7.2900000000000009</v>
      </c>
      <c r="N14" s="271">
        <f>36.45*250/1000</f>
        <v>9.1125000000000007</v>
      </c>
      <c r="O14" s="322">
        <v>87</v>
      </c>
      <c r="P14" s="326"/>
      <c r="Q14" s="326"/>
      <c r="R14" s="326"/>
      <c r="S14" s="326"/>
    </row>
    <row r="15" spans="1:21" s="327" customFormat="1" ht="12" customHeight="1" x14ac:dyDescent="0.3">
      <c r="A15" s="515"/>
      <c r="B15" s="22" t="s">
        <v>227</v>
      </c>
      <c r="C15" s="24" t="s">
        <v>92</v>
      </c>
      <c r="D15" s="25" t="s">
        <v>366</v>
      </c>
      <c r="E15" s="271">
        <v>15.42</v>
      </c>
      <c r="F15" s="271">
        <v>20.63</v>
      </c>
      <c r="G15" s="271">
        <v>12.41</v>
      </c>
      <c r="H15" s="271">
        <v>16.3</v>
      </c>
      <c r="I15" s="271">
        <v>3.96</v>
      </c>
      <c r="J15" s="271">
        <v>5.24</v>
      </c>
      <c r="K15" s="271">
        <v>189</v>
      </c>
      <c r="L15" s="271">
        <v>250</v>
      </c>
      <c r="M15" s="271">
        <v>0.6</v>
      </c>
      <c r="N15" s="271">
        <v>1.1100000000000001</v>
      </c>
      <c r="O15" s="322">
        <v>277</v>
      </c>
      <c r="P15" s="326"/>
      <c r="Q15" s="326"/>
      <c r="R15" s="326"/>
      <c r="S15" s="326"/>
    </row>
    <row r="16" spans="1:21" s="327" customFormat="1" ht="12" customHeight="1" x14ac:dyDescent="0.3">
      <c r="A16" s="515"/>
      <c r="B16" s="22" t="s">
        <v>383</v>
      </c>
      <c r="C16" s="24">
        <v>100</v>
      </c>
      <c r="D16" s="25">
        <v>150</v>
      </c>
      <c r="E16" s="271">
        <f>57.32*100/1000</f>
        <v>5.7320000000000002</v>
      </c>
      <c r="F16" s="271">
        <f>57.32*150/1000</f>
        <v>8.5980000000000008</v>
      </c>
      <c r="G16" s="271">
        <f>40.62*100/1000</f>
        <v>4.0619999999999994</v>
      </c>
      <c r="H16" s="271">
        <f>40.62*150/1000</f>
        <v>6.093</v>
      </c>
      <c r="I16" s="271">
        <f>257.61*100/1000</f>
        <v>25.760999999999999</v>
      </c>
      <c r="J16" s="271">
        <f>257.61*150/1000</f>
        <v>38.641500000000001</v>
      </c>
      <c r="K16" s="271">
        <f>1625*100/1000</f>
        <v>162.5</v>
      </c>
      <c r="L16" s="271">
        <f>1625*150/1000</f>
        <v>243.75</v>
      </c>
      <c r="M16" s="271">
        <v>0</v>
      </c>
      <c r="N16" s="271">
        <v>0</v>
      </c>
      <c r="O16" s="322">
        <v>313</v>
      </c>
      <c r="P16" s="326"/>
      <c r="Q16" s="326"/>
      <c r="R16" s="326"/>
      <c r="S16" s="326"/>
    </row>
    <row r="17" spans="1:19" s="327" customFormat="1" ht="12" customHeight="1" x14ac:dyDescent="0.3">
      <c r="A17" s="515"/>
      <c r="B17" s="22" t="s">
        <v>75</v>
      </c>
      <c r="C17" s="24">
        <v>150</v>
      </c>
      <c r="D17" s="25">
        <v>180</v>
      </c>
      <c r="E17" s="271">
        <f>2.2*150/1000</f>
        <v>0.33</v>
      </c>
      <c r="F17" s="271">
        <f>2.2*180/1000</f>
        <v>0.39600000000000007</v>
      </c>
      <c r="G17" s="271">
        <f>0.1*150/1000</f>
        <v>1.4999999999999999E-2</v>
      </c>
      <c r="H17" s="271">
        <f>0.1*180/1000</f>
        <v>1.7999999999999999E-2</v>
      </c>
      <c r="I17" s="271">
        <f>138.84*150/1000</f>
        <v>20.826000000000001</v>
      </c>
      <c r="J17" s="271">
        <f>138.84*180/1000</f>
        <v>24.991199999999999</v>
      </c>
      <c r="K17" s="271">
        <f>565*150/1000</f>
        <v>84.75</v>
      </c>
      <c r="L17" s="271">
        <f>565*180/1000</f>
        <v>101.7</v>
      </c>
      <c r="M17" s="271">
        <f>2*150/1000</f>
        <v>0.3</v>
      </c>
      <c r="N17" s="271">
        <f>2*200/1000</f>
        <v>0.4</v>
      </c>
      <c r="O17" s="322">
        <v>376</v>
      </c>
      <c r="P17" s="326"/>
      <c r="Q17" s="326"/>
      <c r="R17" s="326"/>
      <c r="S17" s="326"/>
    </row>
    <row r="18" spans="1:19" s="327" customFormat="1" ht="12" customHeight="1" x14ac:dyDescent="0.3">
      <c r="A18" s="515"/>
      <c r="B18" s="22" t="s">
        <v>177</v>
      </c>
      <c r="C18" s="58">
        <v>20</v>
      </c>
      <c r="D18" s="64">
        <v>25</v>
      </c>
      <c r="E18" s="271">
        <f>7.6*20/100</f>
        <v>1.52</v>
      </c>
      <c r="F18" s="271">
        <f>7.6*25/100</f>
        <v>1.9</v>
      </c>
      <c r="G18" s="271">
        <f>0.8*20/1000</f>
        <v>1.6E-2</v>
      </c>
      <c r="H18" s="271">
        <f>0.8*25/1000</f>
        <v>0.02</v>
      </c>
      <c r="I18" s="271">
        <f>49.2*20/100</f>
        <v>9.84</v>
      </c>
      <c r="J18" s="271">
        <f>49.2*25/100</f>
        <v>12.3</v>
      </c>
      <c r="K18" s="271">
        <f>235*20/100</f>
        <v>47</v>
      </c>
      <c r="L18" s="271">
        <f>235*25/100</f>
        <v>58.75</v>
      </c>
      <c r="M18" s="271">
        <v>0</v>
      </c>
      <c r="N18" s="271">
        <v>0</v>
      </c>
      <c r="O18" s="322" t="s">
        <v>451</v>
      </c>
      <c r="P18" s="326"/>
      <c r="Q18" s="326"/>
      <c r="R18" s="326"/>
      <c r="S18" s="326"/>
    </row>
    <row r="19" spans="1:19" s="327" customFormat="1" ht="12" customHeight="1" thickBot="1" x14ac:dyDescent="0.35">
      <c r="A19" s="515"/>
      <c r="B19" s="22" t="s">
        <v>184</v>
      </c>
      <c r="C19" s="24">
        <v>17</v>
      </c>
      <c r="D19" s="25">
        <v>21</v>
      </c>
      <c r="E19" s="375">
        <f>5.6*17/100</f>
        <v>0.95199999999999985</v>
      </c>
      <c r="F19" s="375">
        <f>5.6*21/100</f>
        <v>1.1759999999999999</v>
      </c>
      <c r="G19" s="375">
        <f>1.1*17/100</f>
        <v>0.18700000000000003</v>
      </c>
      <c r="H19" s="375">
        <f>1.1*21/100</f>
        <v>0.23100000000000001</v>
      </c>
      <c r="I19" s="375">
        <f>49.4*17/100</f>
        <v>8.3979999999999997</v>
      </c>
      <c r="J19" s="375">
        <f>49.4*17/100</f>
        <v>8.3979999999999997</v>
      </c>
      <c r="K19" s="375">
        <f>232*17/100</f>
        <v>39.44</v>
      </c>
      <c r="L19" s="375">
        <f>232*21/100</f>
        <v>48.72</v>
      </c>
      <c r="M19" s="375">
        <v>0</v>
      </c>
      <c r="N19" s="375">
        <v>0</v>
      </c>
      <c r="O19" s="322" t="s">
        <v>451</v>
      </c>
      <c r="P19" s="326"/>
      <c r="Q19" s="326"/>
      <c r="R19" s="326"/>
      <c r="S19" s="326"/>
    </row>
    <row r="20" spans="1:19" s="327" customFormat="1" ht="12" customHeight="1" x14ac:dyDescent="0.3">
      <c r="A20" s="523" t="s">
        <v>91</v>
      </c>
      <c r="B20" s="44" t="s">
        <v>270</v>
      </c>
      <c r="C20" s="59">
        <v>180</v>
      </c>
      <c r="D20" s="63">
        <v>230</v>
      </c>
      <c r="E20" s="373">
        <v>9.3699999999999992</v>
      </c>
      <c r="F20" s="373">
        <v>12.32</v>
      </c>
      <c r="G20" s="373">
        <v>2.2799999999999998</v>
      </c>
      <c r="H20" s="373">
        <v>3.02</v>
      </c>
      <c r="I20" s="373">
        <v>16.489999999999998</v>
      </c>
      <c r="J20" s="373">
        <v>20.88</v>
      </c>
      <c r="K20" s="373">
        <v>124</v>
      </c>
      <c r="L20" s="373">
        <v>160</v>
      </c>
      <c r="M20" s="373">
        <v>7.34</v>
      </c>
      <c r="N20" s="373">
        <v>9.24</v>
      </c>
      <c r="O20" s="374">
        <v>302</v>
      </c>
      <c r="P20" s="326"/>
      <c r="Q20" s="326"/>
      <c r="R20" s="326"/>
      <c r="S20" s="326"/>
    </row>
    <row r="21" spans="1:19" s="327" customFormat="1" ht="12" customHeight="1" x14ac:dyDescent="0.3">
      <c r="A21" s="524"/>
      <c r="B21" s="22" t="s">
        <v>184</v>
      </c>
      <c r="C21" s="24">
        <v>17</v>
      </c>
      <c r="D21" s="25">
        <v>21</v>
      </c>
      <c r="E21" s="375">
        <f>5.6*17/100</f>
        <v>0.95199999999999985</v>
      </c>
      <c r="F21" s="375">
        <f>5.6*21/100</f>
        <v>1.1759999999999999</v>
      </c>
      <c r="G21" s="375">
        <f>1.1*17/100</f>
        <v>0.18700000000000003</v>
      </c>
      <c r="H21" s="375">
        <f>1.1*21/100</f>
        <v>0.23100000000000001</v>
      </c>
      <c r="I21" s="375">
        <f>49.4*17/100</f>
        <v>8.3979999999999997</v>
      </c>
      <c r="J21" s="375">
        <f>49.4*17/100</f>
        <v>8.3979999999999997</v>
      </c>
      <c r="K21" s="375">
        <f>232*17/100</f>
        <v>39.44</v>
      </c>
      <c r="L21" s="375">
        <f>232*21/100</f>
        <v>48.72</v>
      </c>
      <c r="M21" s="375">
        <v>0</v>
      </c>
      <c r="N21" s="375">
        <v>0</v>
      </c>
      <c r="O21" s="322" t="s">
        <v>451</v>
      </c>
      <c r="P21" s="326"/>
      <c r="Q21" s="326"/>
      <c r="R21" s="326"/>
      <c r="S21" s="326"/>
    </row>
    <row r="22" spans="1:19" s="327" customFormat="1" ht="12" customHeight="1" x14ac:dyDescent="0.3">
      <c r="A22" s="524"/>
      <c r="B22" s="22" t="s">
        <v>433</v>
      </c>
      <c r="C22" s="24">
        <v>150</v>
      </c>
      <c r="D22" s="25">
        <v>180</v>
      </c>
      <c r="E22" s="271">
        <v>4.58</v>
      </c>
      <c r="F22" s="271">
        <v>5.48</v>
      </c>
      <c r="G22" s="271">
        <v>4.08</v>
      </c>
      <c r="H22" s="271">
        <v>4.88</v>
      </c>
      <c r="I22" s="271">
        <v>7.58</v>
      </c>
      <c r="J22" s="271">
        <v>9.07</v>
      </c>
      <c r="K22" s="271">
        <v>85</v>
      </c>
      <c r="L22" s="271">
        <v>102</v>
      </c>
      <c r="M22" s="271">
        <v>2.0499999999999998</v>
      </c>
      <c r="N22" s="271">
        <v>2.46</v>
      </c>
      <c r="O22" s="322">
        <v>400</v>
      </c>
      <c r="P22" s="326"/>
      <c r="Q22" s="326"/>
      <c r="R22" s="326"/>
      <c r="S22" s="326"/>
    </row>
    <row r="23" spans="1:19" s="327" customFormat="1" ht="12" customHeight="1" x14ac:dyDescent="0.3">
      <c r="A23" s="524"/>
      <c r="B23" s="22" t="s">
        <v>458</v>
      </c>
      <c r="C23" s="24">
        <v>50</v>
      </c>
      <c r="D23" s="25">
        <v>50</v>
      </c>
      <c r="E23" s="271">
        <f>4.89*50/75</f>
        <v>3.26</v>
      </c>
      <c r="F23" s="271">
        <f>4.89*50/75</f>
        <v>3.26</v>
      </c>
      <c r="G23" s="271">
        <f>8.43*50/75</f>
        <v>5.62</v>
      </c>
      <c r="H23" s="271">
        <f>8.43*50/75</f>
        <v>5.62</v>
      </c>
      <c r="I23" s="271">
        <f>46.48*50/75</f>
        <v>30.986666666666668</v>
      </c>
      <c r="J23" s="271">
        <f>46.48*50/75</f>
        <v>30.986666666666668</v>
      </c>
      <c r="K23" s="271">
        <f>281*50/75</f>
        <v>187.33333333333334</v>
      </c>
      <c r="L23" s="271">
        <f>281*50/75</f>
        <v>187.33333333333334</v>
      </c>
      <c r="M23" s="271">
        <f>0.05*50/75</f>
        <v>3.3333333333333333E-2</v>
      </c>
      <c r="N23" s="271">
        <f>0.05*50/75</f>
        <v>3.3333333333333333E-2</v>
      </c>
      <c r="O23" s="183">
        <v>496</v>
      </c>
      <c r="P23" s="326"/>
      <c r="Q23" s="326"/>
      <c r="R23" s="326"/>
      <c r="S23" s="326"/>
    </row>
    <row r="24" spans="1:19" ht="12" customHeight="1" thickBot="1" x14ac:dyDescent="0.35">
      <c r="A24" s="388" t="s">
        <v>95</v>
      </c>
      <c r="B24" s="332"/>
      <c r="C24" s="296"/>
      <c r="D24" s="208"/>
      <c r="E24" s="347">
        <f>SUM(E8:E23)</f>
        <v>58.271699999999989</v>
      </c>
      <c r="F24" s="347">
        <f t="shared" ref="F24:N24" si="0">SUM(F8:F23)</f>
        <v>75.207100000000011</v>
      </c>
      <c r="G24" s="347">
        <f t="shared" si="0"/>
        <v>49.276499999999984</v>
      </c>
      <c r="H24" s="347">
        <f t="shared" si="0"/>
        <v>60.336200000000019</v>
      </c>
      <c r="I24" s="347">
        <f t="shared" si="0"/>
        <v>225.0574666666667</v>
      </c>
      <c r="J24" s="347">
        <f t="shared" si="0"/>
        <v>269.05226666666664</v>
      </c>
      <c r="K24" s="347">
        <f t="shared" si="0"/>
        <v>1582.7966666666666</v>
      </c>
      <c r="L24" s="347">
        <f t="shared" si="0"/>
        <v>1944.9166666666667</v>
      </c>
      <c r="M24" s="347">
        <f t="shared" si="0"/>
        <v>29.078683333333338</v>
      </c>
      <c r="N24" s="347">
        <f t="shared" si="0"/>
        <v>34.839633333333332</v>
      </c>
      <c r="O24" s="345"/>
    </row>
    <row r="25" spans="1:19" s="193" customFormat="1" ht="17.25" customHeight="1" thickBot="1" x14ac:dyDescent="0.4">
      <c r="A25" s="483" t="s">
        <v>198</v>
      </c>
      <c r="B25" s="484"/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  <c r="O25" s="485"/>
      <c r="P25" s="192"/>
      <c r="Q25" s="192"/>
      <c r="R25" s="192"/>
      <c r="S25" s="192"/>
    </row>
    <row r="26" spans="1:19" ht="12" customHeight="1" thickBot="1" x14ac:dyDescent="0.35">
      <c r="A26" s="494" t="s">
        <v>183</v>
      </c>
      <c r="B26" s="102" t="s">
        <v>79</v>
      </c>
      <c r="C26" s="496" t="s">
        <v>81</v>
      </c>
      <c r="D26" s="497"/>
      <c r="E26" s="498" t="s">
        <v>111</v>
      </c>
      <c r="F26" s="499"/>
      <c r="G26" s="499"/>
      <c r="H26" s="499"/>
      <c r="I26" s="499"/>
      <c r="J26" s="500"/>
      <c r="K26" s="488" t="s">
        <v>182</v>
      </c>
      <c r="L26" s="489"/>
      <c r="M26" s="488" t="s">
        <v>85</v>
      </c>
      <c r="N26" s="489"/>
      <c r="O26" s="501" t="s">
        <v>247</v>
      </c>
    </row>
    <row r="27" spans="1:19" ht="12" customHeight="1" thickBot="1" x14ac:dyDescent="0.35">
      <c r="A27" s="495"/>
      <c r="B27" s="330" t="s">
        <v>80</v>
      </c>
      <c r="C27" s="516" t="s">
        <v>80</v>
      </c>
      <c r="D27" s="517"/>
      <c r="E27" s="486" t="s">
        <v>82</v>
      </c>
      <c r="F27" s="487"/>
      <c r="G27" s="486" t="s">
        <v>83</v>
      </c>
      <c r="H27" s="487"/>
      <c r="I27" s="486" t="s">
        <v>84</v>
      </c>
      <c r="J27" s="487"/>
      <c r="K27" s="490"/>
      <c r="L27" s="491"/>
      <c r="M27" s="490"/>
      <c r="N27" s="491"/>
      <c r="O27" s="502"/>
    </row>
    <row r="28" spans="1:19" ht="12" customHeight="1" thickBot="1" x14ac:dyDescent="0.35">
      <c r="A28" s="495"/>
      <c r="B28" s="184"/>
      <c r="C28" s="331" t="s">
        <v>180</v>
      </c>
      <c r="D28" s="333" t="s">
        <v>181</v>
      </c>
      <c r="E28" s="346" t="s">
        <v>180</v>
      </c>
      <c r="F28" s="348" t="s">
        <v>181</v>
      </c>
      <c r="G28" s="346" t="s">
        <v>180</v>
      </c>
      <c r="H28" s="349" t="s">
        <v>181</v>
      </c>
      <c r="I28" s="346" t="s">
        <v>180</v>
      </c>
      <c r="J28" s="346" t="s">
        <v>181</v>
      </c>
      <c r="K28" s="346" t="s">
        <v>180</v>
      </c>
      <c r="L28" s="346" t="s">
        <v>181</v>
      </c>
      <c r="M28" s="346" t="s">
        <v>180</v>
      </c>
      <c r="N28" s="346" t="s">
        <v>181</v>
      </c>
      <c r="O28" s="502"/>
    </row>
    <row r="29" spans="1:19" s="327" customFormat="1" ht="11.25" customHeight="1" x14ac:dyDescent="0.3">
      <c r="A29" s="509" t="s">
        <v>86</v>
      </c>
      <c r="B29" s="44" t="s">
        <v>263</v>
      </c>
      <c r="C29" s="59">
        <v>90</v>
      </c>
      <c r="D29" s="60">
        <v>100</v>
      </c>
      <c r="E29" s="373">
        <f>15.14*90/100</f>
        <v>13.626000000000001</v>
      </c>
      <c r="F29" s="373">
        <v>15.14</v>
      </c>
      <c r="G29" s="373">
        <f>10.76*90/100</f>
        <v>9.6839999999999993</v>
      </c>
      <c r="H29" s="373">
        <v>10.76</v>
      </c>
      <c r="I29" s="373">
        <f>12.17*90/50</f>
        <v>21.905999999999999</v>
      </c>
      <c r="J29" s="373">
        <v>24.33</v>
      </c>
      <c r="K29" s="373">
        <f>127*90/50</f>
        <v>228.6</v>
      </c>
      <c r="L29" s="373">
        <v>255</v>
      </c>
      <c r="M29" s="373">
        <f>0.1*90/50</f>
        <v>0.18</v>
      </c>
      <c r="N29" s="373">
        <v>0.19</v>
      </c>
      <c r="O29" s="374">
        <v>235</v>
      </c>
      <c r="P29" s="326"/>
      <c r="Q29" s="326"/>
      <c r="R29" s="326"/>
      <c r="S29" s="326"/>
    </row>
    <row r="30" spans="1:19" s="327" customFormat="1" ht="12" customHeight="1" x14ac:dyDescent="0.3">
      <c r="A30" s="510"/>
      <c r="B30" s="22" t="s">
        <v>252</v>
      </c>
      <c r="C30" s="24">
        <v>30</v>
      </c>
      <c r="D30" s="55">
        <v>30</v>
      </c>
      <c r="E30" s="271">
        <f>19.43*30/1000</f>
        <v>0.58289999999999997</v>
      </c>
      <c r="F30" s="271">
        <f>19.43*30/1000</f>
        <v>0.58289999999999997</v>
      </c>
      <c r="G30" s="271">
        <f>45.19*30/1000</f>
        <v>1.3556999999999999</v>
      </c>
      <c r="H30" s="271">
        <f>45.19*30/1000</f>
        <v>1.3556999999999999</v>
      </c>
      <c r="I30" s="271">
        <f>132.55*30/1000</f>
        <v>3.9765000000000006</v>
      </c>
      <c r="J30" s="271">
        <f>132.55*30/1000</f>
        <v>3.9765000000000006</v>
      </c>
      <c r="K30" s="271">
        <f>1015*30/1000</f>
        <v>30.45</v>
      </c>
      <c r="L30" s="271">
        <f>1015*30/1000</f>
        <v>30.45</v>
      </c>
      <c r="M30" s="271">
        <f>3.25*15/1000</f>
        <v>4.8750000000000002E-2</v>
      </c>
      <c r="N30" s="271">
        <f>3.25*15/1000</f>
        <v>4.8750000000000002E-2</v>
      </c>
      <c r="O30" s="322">
        <v>351</v>
      </c>
      <c r="P30" s="326"/>
      <c r="Q30" s="326"/>
      <c r="R30" s="326"/>
      <c r="S30" s="326"/>
    </row>
    <row r="31" spans="1:19" s="327" customFormat="1" ht="12" customHeight="1" x14ac:dyDescent="0.3">
      <c r="A31" s="510"/>
      <c r="B31" s="22" t="s">
        <v>52</v>
      </c>
      <c r="C31" s="24">
        <v>150</v>
      </c>
      <c r="D31" s="55">
        <v>180</v>
      </c>
      <c r="E31" s="271">
        <v>2.65</v>
      </c>
      <c r="F31" s="271">
        <v>2.67</v>
      </c>
      <c r="G31" s="271">
        <v>2.33</v>
      </c>
      <c r="H31" s="271">
        <v>2.34</v>
      </c>
      <c r="I31" s="271">
        <v>11.31</v>
      </c>
      <c r="J31" s="271">
        <v>14.31</v>
      </c>
      <c r="K31" s="271">
        <v>77</v>
      </c>
      <c r="L31" s="271">
        <v>89</v>
      </c>
      <c r="M31" s="271">
        <v>1.19</v>
      </c>
      <c r="N31" s="271">
        <v>1.2</v>
      </c>
      <c r="O31" s="322">
        <v>394</v>
      </c>
      <c r="P31" s="326"/>
      <c r="Q31" s="326"/>
      <c r="R31" s="326"/>
      <c r="S31" s="326"/>
    </row>
    <row r="32" spans="1:19" s="327" customFormat="1" ht="12" customHeight="1" thickBot="1" x14ac:dyDescent="0.35">
      <c r="A32" s="510"/>
      <c r="B32" s="22" t="s">
        <v>473</v>
      </c>
      <c r="C32" s="58">
        <v>24</v>
      </c>
      <c r="D32" s="64">
        <v>30</v>
      </c>
      <c r="E32" s="271">
        <f>7.5*24/100</f>
        <v>1.8</v>
      </c>
      <c r="F32" s="271">
        <f>7.5*30/100</f>
        <v>2.25</v>
      </c>
      <c r="G32" s="271">
        <f>2.9*24/1000</f>
        <v>6.9599999999999995E-2</v>
      </c>
      <c r="H32" s="271">
        <f>2.9*30/1000</f>
        <v>8.6999999999999994E-2</v>
      </c>
      <c r="I32" s="271">
        <f>51.4*24/100</f>
        <v>12.335999999999999</v>
      </c>
      <c r="J32" s="271">
        <f>51.4*30/100</f>
        <v>15.42</v>
      </c>
      <c r="K32" s="271">
        <f>262*24/100</f>
        <v>62.88</v>
      </c>
      <c r="L32" s="271">
        <f>262*30/100</f>
        <v>78.599999999999994</v>
      </c>
      <c r="M32" s="271">
        <f>0</f>
        <v>0</v>
      </c>
      <c r="N32" s="271">
        <v>0</v>
      </c>
      <c r="O32" s="322" t="s">
        <v>505</v>
      </c>
      <c r="P32" s="326"/>
      <c r="Q32" s="326"/>
      <c r="R32" s="326"/>
      <c r="S32" s="326"/>
    </row>
    <row r="33" spans="1:21" s="327" customFormat="1" ht="12" customHeight="1" thickBot="1" x14ac:dyDescent="0.35">
      <c r="A33" s="389" t="s">
        <v>88</v>
      </c>
      <c r="B33" s="200" t="s">
        <v>169</v>
      </c>
      <c r="C33" s="205">
        <v>100</v>
      </c>
      <c r="D33" s="379">
        <v>100</v>
      </c>
      <c r="E33" s="377">
        <v>0.4</v>
      </c>
      <c r="F33" s="377">
        <v>0.4</v>
      </c>
      <c r="G33" s="377">
        <v>0.4</v>
      </c>
      <c r="H33" s="377">
        <v>0.4</v>
      </c>
      <c r="I33" s="377">
        <v>9.8000000000000007</v>
      </c>
      <c r="J33" s="377">
        <v>9.8000000000000007</v>
      </c>
      <c r="K33" s="377">
        <v>44</v>
      </c>
      <c r="L33" s="377">
        <v>44</v>
      </c>
      <c r="M33" s="377">
        <v>10</v>
      </c>
      <c r="N33" s="377">
        <v>10</v>
      </c>
      <c r="O33" s="346">
        <v>368</v>
      </c>
      <c r="P33" s="326"/>
      <c r="Q33" s="326"/>
      <c r="R33" s="326"/>
      <c r="S33" s="326"/>
    </row>
    <row r="34" spans="1:21" s="327" customFormat="1" ht="12" customHeight="1" x14ac:dyDescent="0.3">
      <c r="A34" s="527" t="s">
        <v>90</v>
      </c>
      <c r="B34" s="44" t="s">
        <v>502</v>
      </c>
      <c r="C34" s="59">
        <v>45</v>
      </c>
      <c r="D34" s="59">
        <v>0</v>
      </c>
      <c r="E34" s="373">
        <f>1.1*45/100</f>
        <v>0.49500000000000005</v>
      </c>
      <c r="F34" s="373">
        <v>0</v>
      </c>
      <c r="G34" s="373">
        <f>0.2*45/100</f>
        <v>0.09</v>
      </c>
      <c r="H34" s="373">
        <v>0</v>
      </c>
      <c r="I34" s="373">
        <f>3.8*45/100</f>
        <v>1.71</v>
      </c>
      <c r="J34" s="373">
        <v>0</v>
      </c>
      <c r="K34" s="373">
        <f>24*45/100</f>
        <v>10.8</v>
      </c>
      <c r="L34" s="373">
        <v>0</v>
      </c>
      <c r="M34" s="373">
        <f>25*45/100</f>
        <v>11.25</v>
      </c>
      <c r="N34" s="373">
        <v>0</v>
      </c>
      <c r="O34" s="374" t="s">
        <v>294</v>
      </c>
      <c r="P34" s="326"/>
      <c r="Q34" s="326"/>
      <c r="R34" s="326"/>
      <c r="S34" s="326"/>
    </row>
    <row r="35" spans="1:21" s="327" customFormat="1" ht="12" customHeight="1" x14ac:dyDescent="0.3">
      <c r="A35" s="528"/>
      <c r="B35" s="22" t="s">
        <v>506</v>
      </c>
      <c r="C35" s="24">
        <v>0</v>
      </c>
      <c r="D35" s="24">
        <v>60</v>
      </c>
      <c r="E35" s="271">
        <v>0</v>
      </c>
      <c r="F35" s="271">
        <f>29.82*60/1000</f>
        <v>1.7892000000000001</v>
      </c>
      <c r="G35" s="271">
        <v>0</v>
      </c>
      <c r="H35" s="271">
        <f>51.89*60/1000</f>
        <v>3.1133999999999999</v>
      </c>
      <c r="I35" s="271">
        <v>0</v>
      </c>
      <c r="J35" s="271">
        <f>62.51*60/1000</f>
        <v>3.7505999999999999</v>
      </c>
      <c r="K35" s="271">
        <v>0</v>
      </c>
      <c r="L35" s="271">
        <f>836*60/1000</f>
        <v>50.16</v>
      </c>
      <c r="M35" s="271">
        <v>0</v>
      </c>
      <c r="N35" s="271">
        <f>110*60/1000</f>
        <v>6.6</v>
      </c>
      <c r="O35" s="322">
        <v>10</v>
      </c>
      <c r="P35" s="326"/>
      <c r="Q35" s="326"/>
      <c r="R35" s="326"/>
      <c r="S35" s="326"/>
    </row>
    <row r="36" spans="1:21" s="327" customFormat="1" ht="12" customHeight="1" x14ac:dyDescent="0.3">
      <c r="A36" s="528"/>
      <c r="B36" s="22" t="s">
        <v>254</v>
      </c>
      <c r="C36" s="24" t="s">
        <v>245</v>
      </c>
      <c r="D36" s="24" t="s">
        <v>246</v>
      </c>
      <c r="E36" s="271">
        <f>6.96*200/1000+0.24</f>
        <v>1.6319999999999999</v>
      </c>
      <c r="F36" s="271">
        <f>6.96*250/1000+0.24</f>
        <v>1.98</v>
      </c>
      <c r="G36" s="271">
        <f>19.54*200/1000+2.5</f>
        <v>6.4079999999999995</v>
      </c>
      <c r="H36" s="271">
        <f>19.54*250/1000+2.5</f>
        <v>7.3849999999999998</v>
      </c>
      <c r="I36" s="271">
        <f>33.93*200/1000+25</f>
        <v>31.786000000000001</v>
      </c>
      <c r="J36" s="271">
        <f>33.93*250/1000+25</f>
        <v>33.482500000000002</v>
      </c>
      <c r="K36" s="271">
        <f>339*200/1000</f>
        <v>67.8</v>
      </c>
      <c r="L36" s="271">
        <f>339*250/1000</f>
        <v>84.75</v>
      </c>
      <c r="M36" s="271">
        <f>73.86*200/1000+0.03</f>
        <v>14.802</v>
      </c>
      <c r="N36" s="271">
        <f>73.86*250/1000+0.03</f>
        <v>18.495000000000001</v>
      </c>
      <c r="O36" s="322">
        <v>67</v>
      </c>
      <c r="P36" s="326"/>
      <c r="Q36" s="326"/>
      <c r="R36" s="326"/>
      <c r="S36" s="326"/>
    </row>
    <row r="37" spans="1:21" s="327" customFormat="1" ht="12" customHeight="1" x14ac:dyDescent="0.3">
      <c r="A37" s="528"/>
      <c r="B37" s="22" t="s">
        <v>306</v>
      </c>
      <c r="C37" s="24">
        <v>50</v>
      </c>
      <c r="D37" s="24">
        <v>60</v>
      </c>
      <c r="E37" s="271">
        <f>8.94*50/60</f>
        <v>7.45</v>
      </c>
      <c r="F37" s="271">
        <v>8.94</v>
      </c>
      <c r="G37" s="271">
        <f>6.74*50/60</f>
        <v>5.6166666666666663</v>
      </c>
      <c r="H37" s="271">
        <v>6.74</v>
      </c>
      <c r="I37" s="271">
        <f>8.97*50/60</f>
        <v>7.4750000000000005</v>
      </c>
      <c r="J37" s="271">
        <v>8.9700000000000006</v>
      </c>
      <c r="K37" s="271">
        <f>132*50/60</f>
        <v>110</v>
      </c>
      <c r="L37" s="271">
        <v>132</v>
      </c>
      <c r="M37" s="271">
        <v>0</v>
      </c>
      <c r="N37" s="271">
        <v>0</v>
      </c>
      <c r="O37" s="322">
        <v>282</v>
      </c>
      <c r="P37" s="326"/>
      <c r="Q37" s="326"/>
      <c r="R37" s="326"/>
      <c r="S37" s="326"/>
    </row>
    <row r="38" spans="1:21" s="327" customFormat="1" ht="12" customHeight="1" x14ac:dyDescent="0.3">
      <c r="A38" s="528"/>
      <c r="B38" s="22" t="s">
        <v>311</v>
      </c>
      <c r="C38" s="24">
        <v>100</v>
      </c>
      <c r="D38" s="24">
        <v>150</v>
      </c>
      <c r="E38" s="271">
        <f>3.22*100/150</f>
        <v>2.1466666666666665</v>
      </c>
      <c r="F38" s="271">
        <v>3.22</v>
      </c>
      <c r="G38" s="271">
        <v>5.93</v>
      </c>
      <c r="H38" s="271">
        <v>9.36</v>
      </c>
      <c r="I38" s="271">
        <f>23.29*100/150</f>
        <v>15.526666666666667</v>
      </c>
      <c r="J38" s="271">
        <v>23.29</v>
      </c>
      <c r="K38" s="271">
        <v>124</v>
      </c>
      <c r="L38" s="271">
        <v>190</v>
      </c>
      <c r="M38" s="271">
        <v>7.28</v>
      </c>
      <c r="N38" s="271">
        <v>10.91</v>
      </c>
      <c r="O38" s="322">
        <v>133</v>
      </c>
      <c r="P38" s="326"/>
      <c r="Q38" s="326"/>
      <c r="R38" s="326"/>
      <c r="S38" s="326"/>
    </row>
    <row r="39" spans="1:21" s="326" customFormat="1" ht="12" customHeight="1" x14ac:dyDescent="0.3">
      <c r="A39" s="528"/>
      <c r="B39" s="22" t="s">
        <v>412</v>
      </c>
      <c r="C39" s="58">
        <v>150</v>
      </c>
      <c r="D39" s="58">
        <v>180</v>
      </c>
      <c r="E39" s="271">
        <f>2.2*150/1000</f>
        <v>0.33</v>
      </c>
      <c r="F39" s="271">
        <f>2.2*180/1000</f>
        <v>0.39600000000000007</v>
      </c>
      <c r="G39" s="271">
        <f>0.1*150/1000</f>
        <v>1.4999999999999999E-2</v>
      </c>
      <c r="H39" s="271">
        <f>0.1*180/1000</f>
        <v>1.7999999999999999E-2</v>
      </c>
      <c r="I39" s="271">
        <f>138.84*150/1000</f>
        <v>20.826000000000001</v>
      </c>
      <c r="J39" s="271">
        <f>138.84*180/1000</f>
        <v>24.991199999999999</v>
      </c>
      <c r="K39" s="271">
        <f>565*120/150</f>
        <v>452</v>
      </c>
      <c r="L39" s="271">
        <f>565*180/150</f>
        <v>678</v>
      </c>
      <c r="M39" s="271">
        <f>2*150/1000</f>
        <v>0.3</v>
      </c>
      <c r="N39" s="271">
        <f>2*180/1000</f>
        <v>0.36</v>
      </c>
      <c r="O39" s="322">
        <v>376</v>
      </c>
    </row>
    <row r="40" spans="1:21" s="327" customFormat="1" ht="12" customHeight="1" x14ac:dyDescent="0.3">
      <c r="A40" s="528"/>
      <c r="B40" s="22" t="s">
        <v>177</v>
      </c>
      <c r="C40" s="58">
        <v>20</v>
      </c>
      <c r="D40" s="58">
        <v>25</v>
      </c>
      <c r="E40" s="271">
        <f>7.6*20/100</f>
        <v>1.52</v>
      </c>
      <c r="F40" s="271">
        <f>7.6*25/100</f>
        <v>1.9</v>
      </c>
      <c r="G40" s="271">
        <f>0.8*20/1000</f>
        <v>1.6E-2</v>
      </c>
      <c r="H40" s="271">
        <f>0.8*25/1000</f>
        <v>0.02</v>
      </c>
      <c r="I40" s="271">
        <f>49.2*20/100</f>
        <v>9.84</v>
      </c>
      <c r="J40" s="271">
        <f>49.2*25/100</f>
        <v>12.3</v>
      </c>
      <c r="K40" s="271">
        <f>235*20/100</f>
        <v>47</v>
      </c>
      <c r="L40" s="271">
        <f>235*25/100</f>
        <v>58.75</v>
      </c>
      <c r="M40" s="271">
        <v>0</v>
      </c>
      <c r="N40" s="271">
        <v>0</v>
      </c>
      <c r="O40" s="322" t="s">
        <v>451</v>
      </c>
      <c r="P40" s="326"/>
      <c r="Q40" s="326"/>
      <c r="R40" s="326"/>
      <c r="S40" s="326"/>
    </row>
    <row r="41" spans="1:21" s="327" customFormat="1" ht="12" customHeight="1" thickBot="1" x14ac:dyDescent="0.35">
      <c r="A41" s="529"/>
      <c r="B41" s="26" t="s">
        <v>184</v>
      </c>
      <c r="C41" s="31">
        <v>17</v>
      </c>
      <c r="D41" s="31">
        <v>21</v>
      </c>
      <c r="E41" s="360">
        <f>5.6*17/100</f>
        <v>0.95199999999999985</v>
      </c>
      <c r="F41" s="360">
        <f>5.6*21/100</f>
        <v>1.1759999999999999</v>
      </c>
      <c r="G41" s="360">
        <f>1.1*17/100</f>
        <v>0.18700000000000003</v>
      </c>
      <c r="H41" s="360">
        <f>1.1*21/100</f>
        <v>0.23100000000000001</v>
      </c>
      <c r="I41" s="360">
        <f>49.4*17/100</f>
        <v>8.3979999999999997</v>
      </c>
      <c r="J41" s="360">
        <f>49.4*17/100</f>
        <v>8.3979999999999997</v>
      </c>
      <c r="K41" s="360">
        <f>232*17/100</f>
        <v>39.44</v>
      </c>
      <c r="L41" s="360">
        <f>232*21/100</f>
        <v>48.72</v>
      </c>
      <c r="M41" s="360">
        <v>0</v>
      </c>
      <c r="N41" s="360">
        <v>0</v>
      </c>
      <c r="O41" s="361" t="s">
        <v>451</v>
      </c>
      <c r="P41" s="326"/>
      <c r="Q41" s="326"/>
      <c r="R41" s="326"/>
      <c r="S41" s="326"/>
    </row>
    <row r="42" spans="1:21" s="327" customFormat="1" ht="12" customHeight="1" x14ac:dyDescent="0.3">
      <c r="A42" s="533" t="s">
        <v>91</v>
      </c>
      <c r="B42" s="97" t="s">
        <v>267</v>
      </c>
      <c r="C42" s="112">
        <v>100</v>
      </c>
      <c r="D42" s="139">
        <v>150</v>
      </c>
      <c r="E42" s="380">
        <f>25.6*100/1000</f>
        <v>2.56</v>
      </c>
      <c r="F42" s="380">
        <f>25.6*150/1000</f>
        <v>3.84</v>
      </c>
      <c r="G42" s="380">
        <f>28.04*100/1000</f>
        <v>2.8039999999999998</v>
      </c>
      <c r="H42" s="380">
        <f>28.04*150/1000</f>
        <v>4.2060000000000004</v>
      </c>
      <c r="I42" s="380">
        <f>33.13*100/1000</f>
        <v>3.3130000000000006</v>
      </c>
      <c r="J42" s="380">
        <f>33.13*150/1000</f>
        <v>4.9695</v>
      </c>
      <c r="K42" s="380">
        <f>487*100/1000</f>
        <v>48.7</v>
      </c>
      <c r="L42" s="380">
        <f>487*150/1000</f>
        <v>73.05</v>
      </c>
      <c r="M42" s="380">
        <f>528*100/1000</f>
        <v>52.8</v>
      </c>
      <c r="N42" s="380">
        <f>528*150/1000</f>
        <v>79.2</v>
      </c>
      <c r="O42" s="381">
        <v>320</v>
      </c>
      <c r="P42" s="326"/>
      <c r="Q42" s="326"/>
      <c r="R42" s="326"/>
      <c r="S42" s="326"/>
    </row>
    <row r="43" spans="1:21" s="327" customFormat="1" ht="12" customHeight="1" x14ac:dyDescent="0.3">
      <c r="A43" s="534"/>
      <c r="B43" s="22" t="s">
        <v>314</v>
      </c>
      <c r="C43" s="24">
        <v>60</v>
      </c>
      <c r="D43" s="55">
        <v>80</v>
      </c>
      <c r="E43" s="271">
        <v>9.8800000000000008</v>
      </c>
      <c r="F43" s="271">
        <v>13.21</v>
      </c>
      <c r="G43" s="271">
        <v>10.4</v>
      </c>
      <c r="H43" s="271">
        <v>14.19</v>
      </c>
      <c r="I43" s="271">
        <v>1.84</v>
      </c>
      <c r="J43" s="271">
        <v>2.4500000000000002</v>
      </c>
      <c r="K43" s="271">
        <v>140</v>
      </c>
      <c r="L43" s="271">
        <v>190</v>
      </c>
      <c r="M43" s="271">
        <v>0.02</v>
      </c>
      <c r="N43" s="271">
        <v>0.02</v>
      </c>
      <c r="O43" s="322">
        <v>310</v>
      </c>
      <c r="P43" s="326"/>
      <c r="Q43" s="326"/>
      <c r="R43" s="326"/>
      <c r="S43" s="326"/>
    </row>
    <row r="44" spans="1:21" s="327" customFormat="1" ht="12" customHeight="1" x14ac:dyDescent="0.3">
      <c r="A44" s="534"/>
      <c r="B44" s="22" t="s">
        <v>178</v>
      </c>
      <c r="C44" s="24">
        <v>150</v>
      </c>
      <c r="D44" s="55">
        <v>180</v>
      </c>
      <c r="E44" s="271">
        <v>4.3499999999999996</v>
      </c>
      <c r="F44" s="271">
        <v>5.22</v>
      </c>
      <c r="G44" s="271">
        <v>3.75</v>
      </c>
      <c r="H44" s="271">
        <v>4.5</v>
      </c>
      <c r="I44" s="271">
        <v>6.3</v>
      </c>
      <c r="J44" s="271">
        <v>7.56</v>
      </c>
      <c r="K44" s="271">
        <v>76</v>
      </c>
      <c r="L44" s="271">
        <v>92</v>
      </c>
      <c r="M44" s="271">
        <v>0.45</v>
      </c>
      <c r="N44" s="271">
        <v>0.24</v>
      </c>
      <c r="O44" s="322">
        <v>401</v>
      </c>
      <c r="P44" s="326"/>
      <c r="Q44" s="326"/>
      <c r="R44" s="326"/>
      <c r="S44" s="326"/>
    </row>
    <row r="45" spans="1:21" s="327" customFormat="1" ht="12" customHeight="1" thickBot="1" x14ac:dyDescent="0.35">
      <c r="A45" s="535"/>
      <c r="B45" s="22" t="s">
        <v>184</v>
      </c>
      <c r="C45" s="24">
        <v>17</v>
      </c>
      <c r="D45" s="25">
        <v>21</v>
      </c>
      <c r="E45" s="375">
        <f>5.6*17/100</f>
        <v>0.95199999999999985</v>
      </c>
      <c r="F45" s="375">
        <f>5.6*21/100</f>
        <v>1.1759999999999999</v>
      </c>
      <c r="G45" s="375">
        <f>1.1*17/100</f>
        <v>0.18700000000000003</v>
      </c>
      <c r="H45" s="375">
        <f>1.1*21/100</f>
        <v>0.23100000000000001</v>
      </c>
      <c r="I45" s="375">
        <f>49.4*17/100</f>
        <v>8.3979999999999997</v>
      </c>
      <c r="J45" s="375">
        <f>49.4*17/100</f>
        <v>8.3979999999999997</v>
      </c>
      <c r="K45" s="375">
        <f>232*17/100</f>
        <v>39.44</v>
      </c>
      <c r="L45" s="375">
        <f>232*21/100</f>
        <v>48.72</v>
      </c>
      <c r="M45" s="375">
        <v>0</v>
      </c>
      <c r="N45" s="375">
        <v>0</v>
      </c>
      <c r="O45" s="322" t="s">
        <v>451</v>
      </c>
      <c r="P45" s="326"/>
      <c r="Q45" s="326"/>
      <c r="R45" s="326"/>
      <c r="S45" s="326"/>
    </row>
    <row r="46" spans="1:21" s="190" customFormat="1" ht="12" customHeight="1" thickBot="1" x14ac:dyDescent="0.35">
      <c r="A46" s="390" t="s">
        <v>95</v>
      </c>
      <c r="B46" s="350"/>
      <c r="C46" s="334"/>
      <c r="D46" s="182"/>
      <c r="E46" s="351">
        <f t="shared" ref="E46:N46" si="1">SUM(E29:E45)</f>
        <v>51.326566666666672</v>
      </c>
      <c r="F46" s="351">
        <f t="shared" si="1"/>
        <v>63.890099999999997</v>
      </c>
      <c r="G46" s="351">
        <f t="shared" si="1"/>
        <v>49.242966666666661</v>
      </c>
      <c r="H46" s="351">
        <f t="shared" si="1"/>
        <v>64.937100000000001</v>
      </c>
      <c r="I46" s="351">
        <f t="shared" si="1"/>
        <v>174.74116666666666</v>
      </c>
      <c r="J46" s="351">
        <f t="shared" si="1"/>
        <v>206.3963</v>
      </c>
      <c r="K46" s="351">
        <f t="shared" si="1"/>
        <v>1598.1100000000001</v>
      </c>
      <c r="L46" s="351">
        <f t="shared" si="1"/>
        <v>2143.1999999999998</v>
      </c>
      <c r="M46" s="351">
        <f t="shared" si="1"/>
        <v>98.32074999999999</v>
      </c>
      <c r="N46" s="351">
        <f t="shared" si="1"/>
        <v>127.26374999999999</v>
      </c>
      <c r="O46" s="352"/>
      <c r="P46" s="19"/>
      <c r="Q46" s="19"/>
      <c r="R46" s="19"/>
      <c r="S46" s="19"/>
    </row>
    <row r="47" spans="1:21" ht="13.5" customHeight="1" thickBot="1" x14ac:dyDescent="0.4">
      <c r="A47" s="483" t="s">
        <v>199</v>
      </c>
      <c r="B47" s="484"/>
      <c r="C47" s="484"/>
      <c r="D47" s="484"/>
      <c r="E47" s="484"/>
      <c r="F47" s="484"/>
      <c r="G47" s="484"/>
      <c r="H47" s="484"/>
      <c r="I47" s="484"/>
      <c r="J47" s="484"/>
      <c r="K47" s="484"/>
      <c r="L47" s="484"/>
      <c r="M47" s="484"/>
      <c r="N47" s="484"/>
      <c r="O47" s="485"/>
      <c r="P47" s="192"/>
      <c r="Q47" s="192"/>
      <c r="R47" s="192"/>
      <c r="S47" s="192"/>
      <c r="T47" s="193"/>
      <c r="U47" s="193"/>
    </row>
    <row r="48" spans="1:21" ht="13.5" customHeight="1" thickBot="1" x14ac:dyDescent="0.35">
      <c r="A48" s="494" t="s">
        <v>183</v>
      </c>
      <c r="B48" s="137" t="s">
        <v>79</v>
      </c>
      <c r="C48" s="496" t="s">
        <v>81</v>
      </c>
      <c r="D48" s="497"/>
      <c r="E48" s="499" t="s">
        <v>111</v>
      </c>
      <c r="F48" s="499"/>
      <c r="G48" s="499"/>
      <c r="H48" s="499"/>
      <c r="I48" s="499"/>
      <c r="J48" s="500"/>
      <c r="K48" s="488" t="s">
        <v>182</v>
      </c>
      <c r="L48" s="518"/>
      <c r="M48" s="488" t="s">
        <v>85</v>
      </c>
      <c r="N48" s="489"/>
      <c r="O48" s="489" t="s">
        <v>247</v>
      </c>
    </row>
    <row r="49" spans="1:21" ht="13.5" customHeight="1" thickBot="1" x14ac:dyDescent="0.35">
      <c r="A49" s="495"/>
      <c r="B49" s="335" t="s">
        <v>80</v>
      </c>
      <c r="C49" s="516" t="s">
        <v>80</v>
      </c>
      <c r="D49" s="517"/>
      <c r="E49" s="498" t="s">
        <v>82</v>
      </c>
      <c r="F49" s="500"/>
      <c r="G49" s="498" t="s">
        <v>83</v>
      </c>
      <c r="H49" s="500"/>
      <c r="I49" s="498" t="s">
        <v>84</v>
      </c>
      <c r="J49" s="500"/>
      <c r="K49" s="519"/>
      <c r="L49" s="519"/>
      <c r="M49" s="490"/>
      <c r="N49" s="491"/>
      <c r="O49" s="520"/>
    </row>
    <row r="50" spans="1:21" ht="13.5" customHeight="1" thickBot="1" x14ac:dyDescent="0.35">
      <c r="A50" s="503"/>
      <c r="B50" s="100"/>
      <c r="C50" s="331" t="s">
        <v>180</v>
      </c>
      <c r="D50" s="331" t="s">
        <v>181</v>
      </c>
      <c r="E50" s="346" t="s">
        <v>180</v>
      </c>
      <c r="F50" s="346" t="s">
        <v>181</v>
      </c>
      <c r="G50" s="346" t="s">
        <v>180</v>
      </c>
      <c r="H50" s="346" t="s">
        <v>181</v>
      </c>
      <c r="I50" s="346" t="s">
        <v>180</v>
      </c>
      <c r="J50" s="346" t="s">
        <v>181</v>
      </c>
      <c r="K50" s="349" t="s">
        <v>180</v>
      </c>
      <c r="L50" s="353" t="s">
        <v>181</v>
      </c>
      <c r="M50" s="346" t="s">
        <v>180</v>
      </c>
      <c r="N50" s="346" t="s">
        <v>181</v>
      </c>
      <c r="O50" s="520"/>
    </row>
    <row r="51" spans="1:21" s="327" customFormat="1" ht="13.5" customHeight="1" x14ac:dyDescent="0.3">
      <c r="A51" s="509" t="s">
        <v>86</v>
      </c>
      <c r="B51" s="95" t="s">
        <v>381</v>
      </c>
      <c r="C51" s="59" t="s">
        <v>212</v>
      </c>
      <c r="D51" s="59" t="s">
        <v>213</v>
      </c>
      <c r="E51" s="373">
        <v>3.46</v>
      </c>
      <c r="F51" s="373">
        <v>4.59</v>
      </c>
      <c r="G51" s="373">
        <v>4.57</v>
      </c>
      <c r="H51" s="373">
        <v>4.9000000000000004</v>
      </c>
      <c r="I51" s="373">
        <v>19.760000000000002</v>
      </c>
      <c r="J51" s="373">
        <v>26.32</v>
      </c>
      <c r="K51" s="373">
        <v>134</v>
      </c>
      <c r="L51" s="373">
        <v>168</v>
      </c>
      <c r="M51" s="373">
        <v>0</v>
      </c>
      <c r="N51" s="373">
        <v>0</v>
      </c>
      <c r="O51" s="374">
        <v>185</v>
      </c>
      <c r="P51" s="326"/>
      <c r="Q51" s="326"/>
      <c r="R51" s="326"/>
      <c r="S51" s="326"/>
    </row>
    <row r="52" spans="1:21" ht="13.5" customHeight="1" x14ac:dyDescent="0.3">
      <c r="A52" s="510"/>
      <c r="B52" s="22" t="s">
        <v>473</v>
      </c>
      <c r="C52" s="58">
        <v>24</v>
      </c>
      <c r="D52" s="64">
        <v>30</v>
      </c>
      <c r="E52" s="271">
        <f>7.5*24/100</f>
        <v>1.8</v>
      </c>
      <c r="F52" s="271">
        <f>7.5*30/100</f>
        <v>2.25</v>
      </c>
      <c r="G52" s="271">
        <f>2.9*24/1000</f>
        <v>6.9599999999999995E-2</v>
      </c>
      <c r="H52" s="271">
        <f>2.9*30/1000</f>
        <v>8.6999999999999994E-2</v>
      </c>
      <c r="I52" s="271">
        <f>51.4*24/100</f>
        <v>12.335999999999999</v>
      </c>
      <c r="J52" s="271">
        <f>51.4*30/100</f>
        <v>15.42</v>
      </c>
      <c r="K52" s="271">
        <f>262*24/100</f>
        <v>62.88</v>
      </c>
      <c r="L52" s="271">
        <f>262*30/100</f>
        <v>78.599999999999994</v>
      </c>
      <c r="M52" s="271">
        <f>0</f>
        <v>0</v>
      </c>
      <c r="N52" s="271">
        <v>0</v>
      </c>
      <c r="O52" s="322" t="s">
        <v>505</v>
      </c>
      <c r="P52" s="20"/>
      <c r="Q52" s="20"/>
      <c r="R52" s="20"/>
      <c r="S52" s="20"/>
      <c r="T52" s="191"/>
      <c r="U52" s="191"/>
    </row>
    <row r="53" spans="1:21" s="327" customFormat="1" ht="13.5" customHeight="1" x14ac:dyDescent="0.3">
      <c r="A53" s="510"/>
      <c r="B53" s="255" t="s">
        <v>87</v>
      </c>
      <c r="C53" s="24">
        <v>5</v>
      </c>
      <c r="D53" s="24">
        <v>10</v>
      </c>
      <c r="E53" s="271">
        <f>2.32*5/10</f>
        <v>1.1599999999999999</v>
      </c>
      <c r="F53" s="271">
        <v>2.3199999999999998</v>
      </c>
      <c r="G53" s="271">
        <f>2.95*5/10</f>
        <v>1.4750000000000001</v>
      </c>
      <c r="H53" s="271">
        <v>2.95</v>
      </c>
      <c r="I53" s="271">
        <v>0</v>
      </c>
      <c r="J53" s="271">
        <v>0</v>
      </c>
      <c r="K53" s="271">
        <f>36*5/10</f>
        <v>18</v>
      </c>
      <c r="L53" s="271">
        <v>36</v>
      </c>
      <c r="M53" s="271">
        <f>0.07*5/10</f>
        <v>3.5000000000000003E-2</v>
      </c>
      <c r="N53" s="271">
        <v>7.0000000000000007E-2</v>
      </c>
      <c r="O53" s="322">
        <v>7</v>
      </c>
      <c r="P53" s="326"/>
      <c r="Q53" s="326"/>
      <c r="R53" s="326"/>
      <c r="S53" s="326"/>
    </row>
    <row r="54" spans="1:21" s="327" customFormat="1" ht="13.5" customHeight="1" thickBot="1" x14ac:dyDescent="0.35">
      <c r="A54" s="511"/>
      <c r="B54" s="96" t="s">
        <v>55</v>
      </c>
      <c r="C54" s="31">
        <v>150</v>
      </c>
      <c r="D54" s="31">
        <v>180</v>
      </c>
      <c r="E54" s="360">
        <v>3.15</v>
      </c>
      <c r="F54" s="360">
        <v>3.67</v>
      </c>
      <c r="G54" s="360">
        <v>2.72</v>
      </c>
      <c r="H54" s="360">
        <v>3.19</v>
      </c>
      <c r="I54" s="360">
        <v>12.96</v>
      </c>
      <c r="J54" s="360">
        <v>15.33</v>
      </c>
      <c r="K54" s="360">
        <v>89</v>
      </c>
      <c r="L54" s="360">
        <v>107</v>
      </c>
      <c r="M54" s="360">
        <v>1.2</v>
      </c>
      <c r="N54" s="360">
        <v>1.43</v>
      </c>
      <c r="O54" s="361">
        <v>397</v>
      </c>
      <c r="P54" s="326"/>
      <c r="Q54" s="326"/>
      <c r="R54" s="326"/>
      <c r="S54" s="326"/>
    </row>
    <row r="55" spans="1:21" s="327" customFormat="1" ht="13.5" customHeight="1" thickBot="1" x14ac:dyDescent="0.35">
      <c r="A55" s="391" t="s">
        <v>88</v>
      </c>
      <c r="B55" s="71" t="s">
        <v>89</v>
      </c>
      <c r="C55" s="106">
        <v>200</v>
      </c>
      <c r="D55" s="106">
        <v>200</v>
      </c>
      <c r="E55" s="377">
        <f>0.45*200/150</f>
        <v>0.6</v>
      </c>
      <c r="F55" s="377">
        <f>0.45*200/150</f>
        <v>0.6</v>
      </c>
      <c r="G55" s="377">
        <f>0.15*200/150</f>
        <v>0.2</v>
      </c>
      <c r="H55" s="377">
        <f>0.15*200/150</f>
        <v>0.2</v>
      </c>
      <c r="I55" s="377">
        <f>22.8*200/150</f>
        <v>30.4</v>
      </c>
      <c r="J55" s="377">
        <f>22.8*200/150</f>
        <v>30.4</v>
      </c>
      <c r="K55" s="377">
        <f>94*200/150</f>
        <v>125.33333333333333</v>
      </c>
      <c r="L55" s="377">
        <f>94*200/150</f>
        <v>125.33333333333333</v>
      </c>
      <c r="M55" s="377">
        <f>6*200/150</f>
        <v>8</v>
      </c>
      <c r="N55" s="377">
        <f>6*200/150</f>
        <v>8</v>
      </c>
      <c r="O55" s="378">
        <v>399</v>
      </c>
      <c r="P55" s="326"/>
      <c r="Q55" s="326"/>
      <c r="R55" s="326"/>
      <c r="S55" s="326"/>
    </row>
    <row r="56" spans="1:21" s="327" customFormat="1" ht="13.5" customHeight="1" x14ac:dyDescent="0.3">
      <c r="A56" s="509" t="s">
        <v>90</v>
      </c>
      <c r="B56" s="95" t="s">
        <v>507</v>
      </c>
      <c r="C56" s="59">
        <v>45</v>
      </c>
      <c r="D56" s="59">
        <v>60</v>
      </c>
      <c r="E56" s="373">
        <f>9.84*45/1000</f>
        <v>0.44280000000000003</v>
      </c>
      <c r="F56" s="373">
        <f>9.84*60/1000</f>
        <v>0.59039999999999992</v>
      </c>
      <c r="G56" s="373">
        <f>61.5*45/1000</f>
        <v>2.7675000000000001</v>
      </c>
      <c r="H56" s="373">
        <f>61.5*60/1000</f>
        <v>3.69</v>
      </c>
      <c r="I56" s="373">
        <f>37.32*45/1000</f>
        <v>1.6794</v>
      </c>
      <c r="J56" s="373">
        <f>37.32*60/1000</f>
        <v>2.2391999999999999</v>
      </c>
      <c r="K56" s="373">
        <f>74.2*45/100</f>
        <v>33.39</v>
      </c>
      <c r="L56" s="373">
        <f>74.2*60/100</f>
        <v>44.52</v>
      </c>
      <c r="M56" s="373">
        <f>16.76*45/100</f>
        <v>7.5420000000000007</v>
      </c>
      <c r="N56" s="373">
        <f>16.76*60/100</f>
        <v>10.056000000000001</v>
      </c>
      <c r="O56" s="374">
        <v>15</v>
      </c>
      <c r="P56" s="326"/>
      <c r="Q56" s="326"/>
      <c r="R56" s="326"/>
      <c r="S56" s="326"/>
    </row>
    <row r="57" spans="1:21" s="327" customFormat="1" ht="13.5" customHeight="1" x14ac:dyDescent="0.3">
      <c r="A57" s="510"/>
      <c r="B57" s="255" t="s">
        <v>253</v>
      </c>
      <c r="C57" s="24">
        <v>200</v>
      </c>
      <c r="D57" s="24">
        <v>250</v>
      </c>
      <c r="E57" s="271">
        <f>21.96*200/1000</f>
        <v>4.3920000000000003</v>
      </c>
      <c r="F57" s="271">
        <f>21.96*250/1000</f>
        <v>5.49</v>
      </c>
      <c r="G57" s="271">
        <f>21.08*200/1000</f>
        <v>4.2160000000000002</v>
      </c>
      <c r="H57" s="271">
        <f>21.08*250/1000</f>
        <v>5.27</v>
      </c>
      <c r="I57" s="271">
        <f>65.29*200/1000</f>
        <v>13.058000000000002</v>
      </c>
      <c r="J57" s="271">
        <f>65.29*250/1000</f>
        <v>16.322500000000002</v>
      </c>
      <c r="K57" s="271">
        <f>539*200/1000</f>
        <v>107.8</v>
      </c>
      <c r="L57" s="271">
        <f>539*250/1000</f>
        <v>134.75</v>
      </c>
      <c r="M57" s="271">
        <f>23.25*200/1000</f>
        <v>4.6500000000000004</v>
      </c>
      <c r="N57" s="271">
        <f>23.25*250/1000</f>
        <v>5.8125</v>
      </c>
      <c r="O57" s="322">
        <v>81</v>
      </c>
      <c r="P57" s="326"/>
      <c r="Q57" s="326"/>
      <c r="R57" s="326"/>
      <c r="S57" s="326"/>
    </row>
    <row r="58" spans="1:21" s="327" customFormat="1" ht="13.5" customHeight="1" x14ac:dyDescent="0.3">
      <c r="A58" s="510"/>
      <c r="B58" s="22" t="s">
        <v>508</v>
      </c>
      <c r="C58" s="24">
        <v>50</v>
      </c>
      <c r="D58" s="24">
        <v>60</v>
      </c>
      <c r="E58" s="271">
        <f>16.81*50/60</f>
        <v>14.008333333333331</v>
      </c>
      <c r="F58" s="271">
        <f>16.81*60/60</f>
        <v>16.809999999999999</v>
      </c>
      <c r="G58" s="271">
        <f>2.26*50/60</f>
        <v>1.8833333333333331</v>
      </c>
      <c r="H58" s="271">
        <f>2.26*60/60</f>
        <v>2.2599999999999998</v>
      </c>
      <c r="I58" s="271">
        <f>0.3*50/60</f>
        <v>0.25</v>
      </c>
      <c r="J58" s="271">
        <f>0.3*60/60</f>
        <v>0.3</v>
      </c>
      <c r="K58" s="271">
        <f>89*50/60</f>
        <v>74.166666666666671</v>
      </c>
      <c r="L58" s="271">
        <f>89*60/60</f>
        <v>89</v>
      </c>
      <c r="M58" s="271">
        <f>0.3*50/60</f>
        <v>0.25</v>
      </c>
      <c r="N58" s="271">
        <f>0.3*60/60</f>
        <v>0.3</v>
      </c>
      <c r="O58" s="322">
        <v>273</v>
      </c>
      <c r="P58" s="326"/>
      <c r="Q58" s="326"/>
      <c r="R58" s="326"/>
      <c r="S58" s="326"/>
    </row>
    <row r="59" spans="1:21" s="327" customFormat="1" ht="13.5" customHeight="1" x14ac:dyDescent="0.3">
      <c r="A59" s="510"/>
      <c r="B59" s="255" t="s">
        <v>363</v>
      </c>
      <c r="C59" s="24">
        <v>100</v>
      </c>
      <c r="D59" s="24">
        <v>150</v>
      </c>
      <c r="E59" s="271">
        <f>36.78*100/1000</f>
        <v>3.6779999999999999</v>
      </c>
      <c r="F59" s="271">
        <f>36.78*150/1000</f>
        <v>5.5170000000000003</v>
      </c>
      <c r="G59" s="271">
        <f>30.1*100/1000</f>
        <v>3.01</v>
      </c>
      <c r="H59" s="271">
        <f>30.1*150/1000</f>
        <v>4.5149999999999997</v>
      </c>
      <c r="I59" s="271">
        <f>176.3*100/1000</f>
        <v>17.63</v>
      </c>
      <c r="J59" s="271">
        <f>176.3*150/1000</f>
        <v>26.445</v>
      </c>
      <c r="K59" s="271">
        <f>1123*100/1000</f>
        <v>112.3</v>
      </c>
      <c r="L59" s="271">
        <f>1123*150/1000</f>
        <v>168.45</v>
      </c>
      <c r="M59" s="271">
        <v>0</v>
      </c>
      <c r="N59" s="271">
        <v>0</v>
      </c>
      <c r="O59" s="322">
        <v>205</v>
      </c>
      <c r="P59" s="326"/>
      <c r="Q59" s="326"/>
      <c r="R59" s="326"/>
      <c r="S59" s="326"/>
    </row>
    <row r="60" spans="1:21" s="327" customFormat="1" ht="13.5" customHeight="1" x14ac:dyDescent="0.3">
      <c r="A60" s="510"/>
      <c r="B60" s="255" t="s">
        <v>357</v>
      </c>
      <c r="C60" s="24">
        <v>150</v>
      </c>
      <c r="D60" s="24">
        <v>180</v>
      </c>
      <c r="E60" s="271">
        <f>2.2*150/1000</f>
        <v>0.33</v>
      </c>
      <c r="F60" s="271">
        <f>2.2*180/1000</f>
        <v>0.39600000000000007</v>
      </c>
      <c r="G60" s="271">
        <f>0.1*150/1000</f>
        <v>1.4999999999999999E-2</v>
      </c>
      <c r="H60" s="271">
        <f>0.1*180/1000</f>
        <v>1.7999999999999999E-2</v>
      </c>
      <c r="I60" s="271">
        <f>138.84*150/1000</f>
        <v>20.826000000000001</v>
      </c>
      <c r="J60" s="271">
        <f>138.84*180/1000</f>
        <v>24.991199999999999</v>
      </c>
      <c r="K60" s="271">
        <f>565*150/1000</f>
        <v>84.75</v>
      </c>
      <c r="L60" s="271">
        <f>565*180/1000</f>
        <v>101.7</v>
      </c>
      <c r="M60" s="271">
        <f>2*150/1000</f>
        <v>0.3</v>
      </c>
      <c r="N60" s="271">
        <f>2*200/1000</f>
        <v>0.4</v>
      </c>
      <c r="O60" s="322">
        <v>376</v>
      </c>
      <c r="P60" s="326"/>
      <c r="Q60" s="326"/>
      <c r="R60" s="326"/>
      <c r="S60" s="326"/>
    </row>
    <row r="61" spans="1:21" s="327" customFormat="1" ht="13.5" customHeight="1" x14ac:dyDescent="0.3">
      <c r="A61" s="510"/>
      <c r="B61" s="255" t="s">
        <v>177</v>
      </c>
      <c r="C61" s="58">
        <v>20</v>
      </c>
      <c r="D61" s="64">
        <v>25</v>
      </c>
      <c r="E61" s="271">
        <f>7.6*20/100</f>
        <v>1.52</v>
      </c>
      <c r="F61" s="271">
        <f>7.6*25/100</f>
        <v>1.9</v>
      </c>
      <c r="G61" s="271">
        <f>0.8*20/1000</f>
        <v>1.6E-2</v>
      </c>
      <c r="H61" s="271">
        <f>0.8*25/1000</f>
        <v>0.02</v>
      </c>
      <c r="I61" s="271">
        <f>49.2*20/100</f>
        <v>9.84</v>
      </c>
      <c r="J61" s="271">
        <f>49.2*25/100</f>
        <v>12.3</v>
      </c>
      <c r="K61" s="271">
        <f>235*20/100</f>
        <v>47</v>
      </c>
      <c r="L61" s="271">
        <f>235*25/100</f>
        <v>58.75</v>
      </c>
      <c r="M61" s="271">
        <v>0</v>
      </c>
      <c r="N61" s="271">
        <v>0</v>
      </c>
      <c r="O61" s="322" t="s">
        <v>451</v>
      </c>
      <c r="P61" s="326"/>
      <c r="Q61" s="326"/>
      <c r="R61" s="326"/>
      <c r="S61" s="326"/>
    </row>
    <row r="62" spans="1:21" s="327" customFormat="1" ht="13.5" customHeight="1" thickBot="1" x14ac:dyDescent="0.35">
      <c r="A62" s="386"/>
      <c r="B62" s="96" t="s">
        <v>184</v>
      </c>
      <c r="C62" s="31">
        <v>17</v>
      </c>
      <c r="D62" s="144">
        <v>21</v>
      </c>
      <c r="E62" s="360">
        <f>5.6*17/100</f>
        <v>0.95199999999999985</v>
      </c>
      <c r="F62" s="360">
        <f>5.6*21/100</f>
        <v>1.1759999999999999</v>
      </c>
      <c r="G62" s="360">
        <f>1.1*17/100</f>
        <v>0.18700000000000003</v>
      </c>
      <c r="H62" s="360">
        <f>1.1*21/100</f>
        <v>0.23100000000000001</v>
      </c>
      <c r="I62" s="360">
        <f>49.4*17/100</f>
        <v>8.3979999999999997</v>
      </c>
      <c r="J62" s="360">
        <f>49.4*17/100</f>
        <v>8.3979999999999997</v>
      </c>
      <c r="K62" s="360">
        <f>232*17/100</f>
        <v>39.44</v>
      </c>
      <c r="L62" s="360">
        <f>232*21/100</f>
        <v>48.72</v>
      </c>
      <c r="M62" s="360">
        <v>0</v>
      </c>
      <c r="N62" s="360">
        <v>0</v>
      </c>
      <c r="O62" s="361" t="s">
        <v>451</v>
      </c>
      <c r="P62" s="326"/>
      <c r="Q62" s="326"/>
      <c r="R62" s="326"/>
      <c r="S62" s="326"/>
    </row>
    <row r="63" spans="1:21" s="327" customFormat="1" ht="13.5" customHeight="1" x14ac:dyDescent="0.3">
      <c r="A63" s="480" t="s">
        <v>91</v>
      </c>
      <c r="B63" s="44" t="s">
        <v>228</v>
      </c>
      <c r="C63" s="59" t="s">
        <v>170</v>
      </c>
      <c r="D63" s="59" t="s">
        <v>207</v>
      </c>
      <c r="E63" s="373">
        <v>8.91</v>
      </c>
      <c r="F63" s="373">
        <v>12.13</v>
      </c>
      <c r="G63" s="373">
        <v>6.59</v>
      </c>
      <c r="H63" s="373">
        <v>9.5</v>
      </c>
      <c r="I63" s="373">
        <v>20.43</v>
      </c>
      <c r="J63" s="373">
        <v>25.7</v>
      </c>
      <c r="K63" s="373">
        <v>177</v>
      </c>
      <c r="L63" s="373">
        <v>237</v>
      </c>
      <c r="M63" s="373">
        <f>3.8*120/150</f>
        <v>3.04</v>
      </c>
      <c r="N63" s="373">
        <v>3.8</v>
      </c>
      <c r="O63" s="374">
        <v>291</v>
      </c>
      <c r="P63" s="326"/>
      <c r="Q63" s="326"/>
      <c r="R63" s="326"/>
      <c r="S63" s="326"/>
    </row>
    <row r="64" spans="1:21" s="327" customFormat="1" ht="13.5" customHeight="1" x14ac:dyDescent="0.3">
      <c r="A64" s="481"/>
      <c r="B64" s="22" t="s">
        <v>179</v>
      </c>
      <c r="C64" s="30" t="s">
        <v>360</v>
      </c>
      <c r="D64" s="30" t="s">
        <v>244</v>
      </c>
      <c r="E64" s="271">
        <v>0</v>
      </c>
      <c r="F64" s="271">
        <f>4.25</f>
        <v>4.25</v>
      </c>
      <c r="G64" s="271">
        <v>0</v>
      </c>
      <c r="H64" s="271">
        <f>2.13</f>
        <v>2.13</v>
      </c>
      <c r="I64" s="271">
        <v>0</v>
      </c>
      <c r="J64" s="271">
        <v>0</v>
      </c>
      <c r="K64" s="271">
        <v>0</v>
      </c>
      <c r="L64" s="271">
        <v>36</v>
      </c>
      <c r="M64" s="271">
        <v>0</v>
      </c>
      <c r="N64" s="271">
        <v>0</v>
      </c>
      <c r="O64" s="322">
        <v>8</v>
      </c>
      <c r="P64" s="326"/>
      <c r="Q64" s="326"/>
      <c r="R64" s="326"/>
      <c r="S64" s="326"/>
    </row>
    <row r="65" spans="1:21" s="327" customFormat="1" ht="13.5" customHeight="1" x14ac:dyDescent="0.3">
      <c r="A65" s="481"/>
      <c r="B65" s="22" t="s">
        <v>434</v>
      </c>
      <c r="C65" s="24">
        <v>150</v>
      </c>
      <c r="D65" s="55">
        <v>180</v>
      </c>
      <c r="E65" s="271">
        <f>0.8*150/100</f>
        <v>1.2</v>
      </c>
      <c r="F65" s="271">
        <f>0.8*180/100</f>
        <v>1.44</v>
      </c>
      <c r="G65" s="271">
        <f>0.3*150/100</f>
        <v>0.45</v>
      </c>
      <c r="H65" s="271">
        <f>0.3*180/100</f>
        <v>0.54</v>
      </c>
      <c r="I65" s="271">
        <f>7*150/100</f>
        <v>10.5</v>
      </c>
      <c r="J65" s="271">
        <f>7*180/100</f>
        <v>12.6</v>
      </c>
      <c r="K65" s="271">
        <f>34*150/100</f>
        <v>51</v>
      </c>
      <c r="L65" s="271">
        <f>34*180/100</f>
        <v>61.2</v>
      </c>
      <c r="M65" s="271">
        <v>0</v>
      </c>
      <c r="N65" s="271">
        <v>0</v>
      </c>
      <c r="O65" s="322">
        <v>400</v>
      </c>
      <c r="P65" s="326"/>
      <c r="Q65" s="326"/>
      <c r="R65" s="326"/>
      <c r="S65" s="326"/>
    </row>
    <row r="66" spans="1:21" s="327" customFormat="1" ht="13.5" customHeight="1" thickBot="1" x14ac:dyDescent="0.35">
      <c r="A66" s="508"/>
      <c r="B66" s="26" t="s">
        <v>184</v>
      </c>
      <c r="C66" s="31">
        <v>17</v>
      </c>
      <c r="D66" s="144">
        <v>21</v>
      </c>
      <c r="E66" s="360">
        <f>5.6*17/100</f>
        <v>0.95199999999999985</v>
      </c>
      <c r="F66" s="360">
        <f>5.6*21/100</f>
        <v>1.1759999999999999</v>
      </c>
      <c r="G66" s="360">
        <f>1.1*17/100</f>
        <v>0.18700000000000003</v>
      </c>
      <c r="H66" s="360">
        <f>1.1*21/100</f>
        <v>0.23100000000000001</v>
      </c>
      <c r="I66" s="360">
        <f>49.4*17/100</f>
        <v>8.3979999999999997</v>
      </c>
      <c r="J66" s="360">
        <f>49.4*17/100</f>
        <v>8.3979999999999997</v>
      </c>
      <c r="K66" s="360">
        <f>232*17/100</f>
        <v>39.44</v>
      </c>
      <c r="L66" s="360">
        <f>232*21/100</f>
        <v>48.72</v>
      </c>
      <c r="M66" s="360">
        <v>0</v>
      </c>
      <c r="N66" s="360">
        <v>0</v>
      </c>
      <c r="O66" s="361" t="s">
        <v>451</v>
      </c>
      <c r="P66" s="326"/>
      <c r="Q66" s="326"/>
      <c r="R66" s="326"/>
      <c r="S66" s="326"/>
    </row>
    <row r="67" spans="1:21" ht="13.5" customHeight="1" thickBot="1" x14ac:dyDescent="0.35">
      <c r="A67" s="392" t="s">
        <v>95</v>
      </c>
      <c r="B67" s="354"/>
      <c r="C67" s="336"/>
      <c r="D67" s="337"/>
      <c r="E67" s="355">
        <f>SUM(E51:E66)</f>
        <v>46.55513333333333</v>
      </c>
      <c r="F67" s="355">
        <f t="shared" ref="F67:N67" si="2">SUM(F51:F66)</f>
        <v>64.305400000000006</v>
      </c>
      <c r="G67" s="355">
        <f t="shared" si="2"/>
        <v>28.356433333333335</v>
      </c>
      <c r="H67" s="355">
        <f t="shared" si="2"/>
        <v>39.732000000000006</v>
      </c>
      <c r="I67" s="355">
        <f t="shared" si="2"/>
        <v>186.46540000000002</v>
      </c>
      <c r="J67" s="355">
        <f t="shared" si="2"/>
        <v>225.16389999999998</v>
      </c>
      <c r="K67" s="355">
        <f t="shared" si="2"/>
        <v>1195.5</v>
      </c>
      <c r="L67" s="355">
        <f t="shared" si="2"/>
        <v>1543.7433333333336</v>
      </c>
      <c r="M67" s="355">
        <f t="shared" si="2"/>
        <v>25.016999999999999</v>
      </c>
      <c r="N67" s="355">
        <f t="shared" si="2"/>
        <v>29.868500000000001</v>
      </c>
      <c r="O67" s="356"/>
    </row>
    <row r="68" spans="1:21" ht="21" customHeight="1" thickBot="1" x14ac:dyDescent="0.4">
      <c r="A68" s="483" t="s">
        <v>200</v>
      </c>
      <c r="B68" s="484"/>
      <c r="C68" s="484"/>
      <c r="D68" s="484"/>
      <c r="E68" s="484"/>
      <c r="F68" s="484"/>
      <c r="G68" s="484"/>
      <c r="H68" s="484"/>
      <c r="I68" s="484"/>
      <c r="J68" s="484"/>
      <c r="K68" s="484"/>
      <c r="L68" s="484"/>
      <c r="M68" s="484"/>
      <c r="N68" s="484"/>
      <c r="O68" s="485"/>
      <c r="P68" s="192"/>
      <c r="Q68" s="192"/>
      <c r="R68" s="192"/>
      <c r="S68" s="192"/>
      <c r="T68" s="193"/>
      <c r="U68" s="193"/>
    </row>
    <row r="69" spans="1:21" ht="13.5" customHeight="1" thickBot="1" x14ac:dyDescent="0.35">
      <c r="A69" s="494" t="s">
        <v>183</v>
      </c>
      <c r="B69" s="102" t="s">
        <v>79</v>
      </c>
      <c r="C69" s="496" t="s">
        <v>81</v>
      </c>
      <c r="D69" s="497"/>
      <c r="E69" s="498" t="s">
        <v>111</v>
      </c>
      <c r="F69" s="499"/>
      <c r="G69" s="499"/>
      <c r="H69" s="499"/>
      <c r="I69" s="499"/>
      <c r="J69" s="500"/>
      <c r="K69" s="488" t="s">
        <v>182</v>
      </c>
      <c r="L69" s="489"/>
      <c r="M69" s="488" t="s">
        <v>85</v>
      </c>
      <c r="N69" s="489"/>
      <c r="O69" s="501" t="s">
        <v>247</v>
      </c>
    </row>
    <row r="70" spans="1:21" ht="13.5" customHeight="1" thickBot="1" x14ac:dyDescent="0.35">
      <c r="A70" s="495"/>
      <c r="B70" s="330" t="s">
        <v>80</v>
      </c>
      <c r="C70" s="516" t="s">
        <v>80</v>
      </c>
      <c r="D70" s="517"/>
      <c r="E70" s="486" t="s">
        <v>82</v>
      </c>
      <c r="F70" s="487"/>
      <c r="G70" s="486" t="s">
        <v>83</v>
      </c>
      <c r="H70" s="487"/>
      <c r="I70" s="486" t="s">
        <v>84</v>
      </c>
      <c r="J70" s="487"/>
      <c r="K70" s="490"/>
      <c r="L70" s="491"/>
      <c r="M70" s="490"/>
      <c r="N70" s="491"/>
      <c r="O70" s="502"/>
    </row>
    <row r="71" spans="1:21" ht="13.5" customHeight="1" thickBot="1" x14ac:dyDescent="0.35">
      <c r="A71" s="503"/>
      <c r="B71" s="184"/>
      <c r="C71" s="331" t="s">
        <v>180</v>
      </c>
      <c r="D71" s="331" t="s">
        <v>181</v>
      </c>
      <c r="E71" s="346" t="s">
        <v>180</v>
      </c>
      <c r="F71" s="346" t="s">
        <v>181</v>
      </c>
      <c r="G71" s="346" t="s">
        <v>180</v>
      </c>
      <c r="H71" s="346" t="s">
        <v>181</v>
      </c>
      <c r="I71" s="346" t="s">
        <v>180</v>
      </c>
      <c r="J71" s="349" t="s">
        <v>181</v>
      </c>
      <c r="K71" s="346" t="s">
        <v>180</v>
      </c>
      <c r="L71" s="346" t="s">
        <v>181</v>
      </c>
      <c r="M71" s="346" t="s">
        <v>180</v>
      </c>
      <c r="N71" s="346" t="s">
        <v>181</v>
      </c>
      <c r="O71" s="502"/>
    </row>
    <row r="72" spans="1:21" s="327" customFormat="1" ht="13.5" customHeight="1" x14ac:dyDescent="0.3">
      <c r="A72" s="509"/>
      <c r="B72" s="95" t="s">
        <v>110</v>
      </c>
      <c r="C72" s="59" t="s">
        <v>436</v>
      </c>
      <c r="D72" s="59" t="s">
        <v>436</v>
      </c>
      <c r="E72" s="373">
        <f>6.95*150/80</f>
        <v>13.03125</v>
      </c>
      <c r="F72" s="373">
        <f>6.95*150/80</f>
        <v>13.03125</v>
      </c>
      <c r="G72" s="373">
        <f>12.87*150/80</f>
        <v>24.131249999999998</v>
      </c>
      <c r="H72" s="373">
        <f>12.87*150/80</f>
        <v>24.131249999999998</v>
      </c>
      <c r="I72" s="373">
        <f>1.7*150/80</f>
        <v>3.1875</v>
      </c>
      <c r="J72" s="373">
        <f>1.7*150/80</f>
        <v>3.1875</v>
      </c>
      <c r="K72" s="373">
        <f>148*150/80</f>
        <v>277.5</v>
      </c>
      <c r="L72" s="373">
        <f>148*150/80</f>
        <v>277.5</v>
      </c>
      <c r="M72" s="373">
        <f>0.13*150/80</f>
        <v>0.24374999999999999</v>
      </c>
      <c r="N72" s="373">
        <f>0.13*150/80</f>
        <v>0.24374999999999999</v>
      </c>
      <c r="O72" s="374">
        <v>216</v>
      </c>
      <c r="P72" s="326"/>
      <c r="Q72" s="326"/>
      <c r="R72" s="326"/>
      <c r="S72" s="326"/>
    </row>
    <row r="73" spans="1:21" s="327" customFormat="1" ht="13.5" customHeight="1" x14ac:dyDescent="0.3">
      <c r="A73" s="510"/>
      <c r="B73" s="22" t="s">
        <v>473</v>
      </c>
      <c r="C73" s="58">
        <v>24</v>
      </c>
      <c r="D73" s="64">
        <v>30</v>
      </c>
      <c r="E73" s="271">
        <f>7.5*24/100</f>
        <v>1.8</v>
      </c>
      <c r="F73" s="271">
        <f>7.5*30/100</f>
        <v>2.25</v>
      </c>
      <c r="G73" s="271">
        <f>2.9*24/1000</f>
        <v>6.9599999999999995E-2</v>
      </c>
      <c r="H73" s="271">
        <f>2.9*30/1000</f>
        <v>8.6999999999999994E-2</v>
      </c>
      <c r="I73" s="271">
        <f>51.4*24/100</f>
        <v>12.335999999999999</v>
      </c>
      <c r="J73" s="271">
        <f>51.4*30/100</f>
        <v>15.42</v>
      </c>
      <c r="K73" s="271">
        <f>262*24/100</f>
        <v>62.88</v>
      </c>
      <c r="L73" s="271">
        <f>262*30/100</f>
        <v>78.599999999999994</v>
      </c>
      <c r="M73" s="271">
        <f>0</f>
        <v>0</v>
      </c>
      <c r="N73" s="271">
        <v>0</v>
      </c>
      <c r="O73" s="322" t="s">
        <v>505</v>
      </c>
      <c r="P73" s="326"/>
      <c r="Q73" s="326"/>
      <c r="R73" s="326"/>
      <c r="S73" s="326"/>
    </row>
    <row r="74" spans="1:21" s="327" customFormat="1" ht="13.5" customHeight="1" x14ac:dyDescent="0.3">
      <c r="A74" s="510"/>
      <c r="B74" s="22" t="s">
        <v>29</v>
      </c>
      <c r="C74" s="24">
        <v>10</v>
      </c>
      <c r="D74" s="25">
        <v>10</v>
      </c>
      <c r="E74" s="375">
        <v>0.08</v>
      </c>
      <c r="F74" s="375">
        <v>0.08</v>
      </c>
      <c r="G74" s="375">
        <v>7.25</v>
      </c>
      <c r="H74" s="375">
        <v>7.25</v>
      </c>
      <c r="I74" s="375">
        <v>0.13</v>
      </c>
      <c r="J74" s="375">
        <v>0.13</v>
      </c>
      <c r="K74" s="375">
        <v>66</v>
      </c>
      <c r="L74" s="375">
        <v>66</v>
      </c>
      <c r="M74" s="375">
        <v>0</v>
      </c>
      <c r="N74" s="375">
        <v>0</v>
      </c>
      <c r="O74" s="376">
        <v>6</v>
      </c>
      <c r="P74" s="326"/>
      <c r="Q74" s="326"/>
      <c r="R74" s="326"/>
      <c r="S74" s="326"/>
    </row>
    <row r="75" spans="1:21" s="327" customFormat="1" ht="13.5" customHeight="1" thickBot="1" x14ac:dyDescent="0.35">
      <c r="A75" s="510"/>
      <c r="B75" s="274" t="s">
        <v>105</v>
      </c>
      <c r="C75" s="21">
        <v>180</v>
      </c>
      <c r="D75" s="21">
        <v>200</v>
      </c>
      <c r="E75" s="375">
        <v>5.48</v>
      </c>
      <c r="F75" s="375">
        <f>5.48*200/180</f>
        <v>6.0888888888888886</v>
      </c>
      <c r="G75" s="375">
        <v>4.88</v>
      </c>
      <c r="H75" s="375">
        <f>4.88*200/180</f>
        <v>5.4222222222222225</v>
      </c>
      <c r="I75" s="375">
        <v>9.07</v>
      </c>
      <c r="J75" s="375">
        <f>9.07*200/180</f>
        <v>10.077777777777778</v>
      </c>
      <c r="K75" s="375">
        <f>85*180/150</f>
        <v>102</v>
      </c>
      <c r="L75" s="375">
        <f>102*200/180</f>
        <v>113.33333333333333</v>
      </c>
      <c r="M75" s="375">
        <f>2.05*180/150</f>
        <v>2.4599999999999995</v>
      </c>
      <c r="N75" s="375">
        <f>2.46*200/180</f>
        <v>2.7333333333333334</v>
      </c>
      <c r="O75" s="376">
        <v>400</v>
      </c>
      <c r="P75" s="326"/>
      <c r="Q75" s="326"/>
      <c r="R75" s="326"/>
      <c r="S75" s="326"/>
    </row>
    <row r="76" spans="1:21" s="327" customFormat="1" ht="13.5" customHeight="1" thickBot="1" x14ac:dyDescent="0.35">
      <c r="A76" s="391" t="s">
        <v>88</v>
      </c>
      <c r="B76" s="180" t="s">
        <v>169</v>
      </c>
      <c r="C76" s="334">
        <v>100</v>
      </c>
      <c r="D76" s="382">
        <v>100</v>
      </c>
      <c r="E76" s="383">
        <v>0.4</v>
      </c>
      <c r="F76" s="383">
        <v>0.4</v>
      </c>
      <c r="G76" s="383">
        <v>0.4</v>
      </c>
      <c r="H76" s="383">
        <v>0.4</v>
      </c>
      <c r="I76" s="383">
        <v>9.8000000000000007</v>
      </c>
      <c r="J76" s="383">
        <v>9.8000000000000007</v>
      </c>
      <c r="K76" s="383">
        <v>44</v>
      </c>
      <c r="L76" s="383">
        <v>44</v>
      </c>
      <c r="M76" s="383">
        <v>10</v>
      </c>
      <c r="N76" s="383">
        <v>10</v>
      </c>
      <c r="O76" s="154">
        <v>368</v>
      </c>
      <c r="P76" s="326"/>
      <c r="Q76" s="326"/>
      <c r="R76" s="326"/>
      <c r="S76" s="326"/>
    </row>
    <row r="77" spans="1:21" s="327" customFormat="1" ht="13.5" customHeight="1" x14ac:dyDescent="0.3">
      <c r="A77" s="523" t="s">
        <v>90</v>
      </c>
      <c r="B77" s="95" t="s">
        <v>353</v>
      </c>
      <c r="C77" s="59">
        <v>45</v>
      </c>
      <c r="D77" s="59">
        <v>60</v>
      </c>
      <c r="E77" s="373">
        <f>14.25*45/1000</f>
        <v>0.64124999999999999</v>
      </c>
      <c r="F77" s="373">
        <f>14.25*60/1000</f>
        <v>0.85499999999999998</v>
      </c>
      <c r="G77" s="373">
        <f>60.89*45/1000</f>
        <v>2.7400500000000001</v>
      </c>
      <c r="H77" s="373">
        <f>60.89*60/1000</f>
        <v>3.6534</v>
      </c>
      <c r="I77" s="373">
        <f>83.6*45/1000</f>
        <v>3.7619999999999996</v>
      </c>
      <c r="J77" s="373">
        <f>83.6*60/1000</f>
        <v>5.016</v>
      </c>
      <c r="K77" s="373">
        <f>939*45/1000</f>
        <v>42.255000000000003</v>
      </c>
      <c r="L77" s="373">
        <f>935*60/1000</f>
        <v>56.1</v>
      </c>
      <c r="M77" s="373">
        <f>95*45/1000</f>
        <v>4.2750000000000004</v>
      </c>
      <c r="N77" s="373">
        <f>95*60/1000</f>
        <v>5.7</v>
      </c>
      <c r="O77" s="374">
        <v>33</v>
      </c>
      <c r="P77" s="326"/>
      <c r="Q77" s="326"/>
      <c r="R77" s="326"/>
      <c r="S77" s="326"/>
    </row>
    <row r="78" spans="1:21" s="327" customFormat="1" ht="13.5" customHeight="1" x14ac:dyDescent="0.3">
      <c r="A78" s="524"/>
      <c r="B78" s="255" t="s">
        <v>372</v>
      </c>
      <c r="C78" s="24" t="s">
        <v>245</v>
      </c>
      <c r="D78" s="24" t="s">
        <v>246</v>
      </c>
      <c r="E78" s="271">
        <f>6.96*200/1000+0.24</f>
        <v>1.6319999999999999</v>
      </c>
      <c r="F78" s="271">
        <f>8.28*250/1000+0.24</f>
        <v>2.3099999999999996</v>
      </c>
      <c r="G78" s="271">
        <f>19.54*200/1000+2.5</f>
        <v>6.4079999999999995</v>
      </c>
      <c r="H78" s="271">
        <f>20.37*250/1000+2.5</f>
        <v>7.5925000000000002</v>
      </c>
      <c r="I78" s="271">
        <f>33.93*200/1000+0.32</f>
        <v>7.1059999999999999</v>
      </c>
      <c r="J78" s="271">
        <f>59.09*250/1000+0.32</f>
        <v>15.092500000000001</v>
      </c>
      <c r="K78" s="271">
        <f>339*200/1000</f>
        <v>67.8</v>
      </c>
      <c r="L78" s="271">
        <f>453*250/1000</f>
        <v>113.25</v>
      </c>
      <c r="M78" s="271">
        <f>73.86*200/1000+0.03</f>
        <v>14.802</v>
      </c>
      <c r="N78" s="271">
        <f>47.27*250/1000+0.03</f>
        <v>11.8475</v>
      </c>
      <c r="O78" s="322" t="s">
        <v>454</v>
      </c>
      <c r="P78" s="326"/>
      <c r="Q78" s="326"/>
      <c r="R78" s="326"/>
      <c r="S78" s="326"/>
    </row>
    <row r="79" spans="1:21" s="327" customFormat="1" ht="13.5" customHeight="1" x14ac:dyDescent="0.3">
      <c r="A79" s="524"/>
      <c r="B79" s="255" t="s">
        <v>260</v>
      </c>
      <c r="C79" s="24">
        <v>160</v>
      </c>
      <c r="D79" s="24">
        <v>200</v>
      </c>
      <c r="E79" s="271">
        <f>20.8*160/170</f>
        <v>19.576470588235296</v>
      </c>
      <c r="F79" s="271">
        <f>27.53*200/220</f>
        <v>25.027272727272727</v>
      </c>
      <c r="G79" s="271">
        <f>5.33*160/170</f>
        <v>5.0164705882352942</v>
      </c>
      <c r="H79" s="271">
        <f>7.47*200/220</f>
        <v>6.790909090909091</v>
      </c>
      <c r="I79" s="271">
        <f>18.5*160/170</f>
        <v>17.411764705882351</v>
      </c>
      <c r="J79" s="271">
        <f>21.95*200/220</f>
        <v>19.954545454545453</v>
      </c>
      <c r="K79" s="271">
        <f>205*160/170</f>
        <v>192.94117647058823</v>
      </c>
      <c r="L79" s="271">
        <f>265*200/220</f>
        <v>240.90909090909091</v>
      </c>
      <c r="M79" s="271">
        <f>7.26*160/170</f>
        <v>6.8329411764705874</v>
      </c>
      <c r="N79" s="271">
        <f>8.97*200/220</f>
        <v>8.1545454545454561</v>
      </c>
      <c r="O79" s="322">
        <v>276</v>
      </c>
      <c r="P79" s="326"/>
      <c r="Q79" s="326"/>
      <c r="R79" s="326"/>
      <c r="S79" s="326"/>
    </row>
    <row r="80" spans="1:21" s="327" customFormat="1" ht="13.5" customHeight="1" x14ac:dyDescent="0.3">
      <c r="A80" s="524"/>
      <c r="B80" s="255" t="s">
        <v>136</v>
      </c>
      <c r="C80" s="24">
        <v>150</v>
      </c>
      <c r="D80" s="24">
        <v>180</v>
      </c>
      <c r="E80" s="271">
        <f>150*2.85/1000</f>
        <v>0.42749999999999999</v>
      </c>
      <c r="F80" s="271">
        <f>180*2.85/1000</f>
        <v>0.51300000000000001</v>
      </c>
      <c r="G80" s="271">
        <f>0.3*150/1000</f>
        <v>4.4999999999999998E-2</v>
      </c>
      <c r="H80" s="271">
        <f>0.3*180/1000</f>
        <v>5.3999999999999999E-2</v>
      </c>
      <c r="I80" s="271">
        <f>151.02*150/1000</f>
        <v>22.652999999999999</v>
      </c>
      <c r="J80" s="271">
        <f>151.02*180/1000</f>
        <v>27.183600000000002</v>
      </c>
      <c r="K80" s="271">
        <f>618*150/1000</f>
        <v>92.7</v>
      </c>
      <c r="L80" s="271">
        <f>618*180/1000</f>
        <v>111.24</v>
      </c>
      <c r="M80" s="271">
        <f>5.49*150/1000</f>
        <v>0.82350000000000001</v>
      </c>
      <c r="N80" s="271">
        <f>5.49*180/1000</f>
        <v>0.98820000000000008</v>
      </c>
      <c r="O80" s="322">
        <v>382</v>
      </c>
      <c r="P80" s="326"/>
      <c r="Q80" s="326"/>
      <c r="R80" s="326"/>
      <c r="S80" s="326"/>
    </row>
    <row r="81" spans="1:21" s="327" customFormat="1" ht="13.5" customHeight="1" x14ac:dyDescent="0.3">
      <c r="A81" s="524"/>
      <c r="B81" s="22" t="s">
        <v>177</v>
      </c>
      <c r="C81" s="58">
        <v>20</v>
      </c>
      <c r="D81" s="64">
        <v>25</v>
      </c>
      <c r="E81" s="271">
        <f>7.6*20/100</f>
        <v>1.52</v>
      </c>
      <c r="F81" s="271">
        <f>7.6*25/100</f>
        <v>1.9</v>
      </c>
      <c r="G81" s="271">
        <f>0.8*20/1000</f>
        <v>1.6E-2</v>
      </c>
      <c r="H81" s="271">
        <f>0.8*25/1000</f>
        <v>0.02</v>
      </c>
      <c r="I81" s="271">
        <f>49.2*20/100</f>
        <v>9.84</v>
      </c>
      <c r="J81" s="271">
        <f>49.2*25/100</f>
        <v>12.3</v>
      </c>
      <c r="K81" s="271">
        <f>235*20/100</f>
        <v>47</v>
      </c>
      <c r="L81" s="271">
        <f>235*25/100</f>
        <v>58.75</v>
      </c>
      <c r="M81" s="271">
        <v>0</v>
      </c>
      <c r="N81" s="271">
        <v>0</v>
      </c>
      <c r="O81" s="322" t="s">
        <v>451</v>
      </c>
      <c r="P81" s="326"/>
      <c r="Q81" s="326"/>
      <c r="R81" s="326"/>
      <c r="S81" s="326"/>
    </row>
    <row r="82" spans="1:21" s="327" customFormat="1" ht="13.5" customHeight="1" thickBot="1" x14ac:dyDescent="0.35">
      <c r="A82" s="524"/>
      <c r="B82" s="36" t="s">
        <v>184</v>
      </c>
      <c r="C82" s="21">
        <v>17</v>
      </c>
      <c r="D82" s="29">
        <v>21</v>
      </c>
      <c r="E82" s="375">
        <f>5.6*17/100</f>
        <v>0.95199999999999985</v>
      </c>
      <c r="F82" s="375">
        <f>5.6*21/100</f>
        <v>1.1759999999999999</v>
      </c>
      <c r="G82" s="375">
        <f>1.1*17/100</f>
        <v>0.18700000000000003</v>
      </c>
      <c r="H82" s="375">
        <f>1.1*21/100</f>
        <v>0.23100000000000001</v>
      </c>
      <c r="I82" s="375">
        <f>49.4*17/100</f>
        <v>8.3979999999999997</v>
      </c>
      <c r="J82" s="375">
        <f>49.4*17/100</f>
        <v>8.3979999999999997</v>
      </c>
      <c r="K82" s="375">
        <f>232*17/100</f>
        <v>39.44</v>
      </c>
      <c r="L82" s="375">
        <f>232*21/100</f>
        <v>48.72</v>
      </c>
      <c r="M82" s="375">
        <v>0</v>
      </c>
      <c r="N82" s="375">
        <v>0</v>
      </c>
      <c r="O82" s="376" t="s">
        <v>451</v>
      </c>
      <c r="P82" s="326"/>
      <c r="Q82" s="326"/>
      <c r="R82" s="326"/>
      <c r="S82" s="326"/>
    </row>
    <row r="83" spans="1:21" s="327" customFormat="1" ht="13.5" customHeight="1" x14ac:dyDescent="0.3">
      <c r="A83" s="480" t="s">
        <v>91</v>
      </c>
      <c r="B83" s="44" t="s">
        <v>295</v>
      </c>
      <c r="C83" s="59">
        <v>50</v>
      </c>
      <c r="D83" s="59">
        <v>100</v>
      </c>
      <c r="E83" s="373">
        <v>8</v>
      </c>
      <c r="F83" s="373">
        <v>16</v>
      </c>
      <c r="G83" s="373">
        <v>4.5</v>
      </c>
      <c r="H83" s="373">
        <v>9</v>
      </c>
      <c r="I83" s="373">
        <v>10.5</v>
      </c>
      <c r="J83" s="373">
        <v>21</v>
      </c>
      <c r="K83" s="373">
        <v>114.6</v>
      </c>
      <c r="L83" s="373">
        <f>114.6*2</f>
        <v>229.2</v>
      </c>
      <c r="M83" s="373">
        <v>0</v>
      </c>
      <c r="N83" s="373">
        <v>0</v>
      </c>
      <c r="O83" s="374" t="s">
        <v>478</v>
      </c>
      <c r="P83" s="326"/>
      <c r="Q83" s="326"/>
      <c r="R83" s="326"/>
      <c r="S83" s="326"/>
    </row>
    <row r="84" spans="1:21" s="327" customFormat="1" ht="13.5" customHeight="1" x14ac:dyDescent="0.3">
      <c r="A84" s="481"/>
      <c r="B84" s="22" t="s">
        <v>438</v>
      </c>
      <c r="C84" s="24">
        <v>20</v>
      </c>
      <c r="D84" s="24">
        <v>20</v>
      </c>
      <c r="E84" s="271">
        <f>0.3*20/100</f>
        <v>0.06</v>
      </c>
      <c r="F84" s="271">
        <f>0.3*20/100</f>
        <v>0.06</v>
      </c>
      <c r="G84" s="271">
        <f>0.1*20/100</f>
        <v>0.02</v>
      </c>
      <c r="H84" s="271">
        <f>0.1*20/100</f>
        <v>0.02</v>
      </c>
      <c r="I84" s="271">
        <f>74*20/100</f>
        <v>14.8</v>
      </c>
      <c r="J84" s="271">
        <f>74*20/100</f>
        <v>14.8</v>
      </c>
      <c r="K84" s="271">
        <f>285*20/100</f>
        <v>57</v>
      </c>
      <c r="L84" s="271">
        <f>285*20/100</f>
        <v>57</v>
      </c>
      <c r="M84" s="271">
        <f>8.4*20/100</f>
        <v>1.68</v>
      </c>
      <c r="N84" s="271">
        <f>8.4*20/100</f>
        <v>1.68</v>
      </c>
      <c r="O84" s="322" t="s">
        <v>439</v>
      </c>
      <c r="P84" s="326"/>
      <c r="Q84" s="326"/>
      <c r="R84" s="326"/>
      <c r="S84" s="326"/>
    </row>
    <row r="85" spans="1:21" s="327" customFormat="1" ht="13.5" customHeight="1" x14ac:dyDescent="0.3">
      <c r="A85" s="481"/>
      <c r="B85" s="22" t="s">
        <v>380</v>
      </c>
      <c r="C85" s="24">
        <v>150</v>
      </c>
      <c r="D85" s="24">
        <v>180</v>
      </c>
      <c r="E85" s="271">
        <v>4.3499999999999996</v>
      </c>
      <c r="F85" s="271">
        <v>5.22</v>
      </c>
      <c r="G85" s="271">
        <v>3.75</v>
      </c>
      <c r="H85" s="271">
        <v>4.5</v>
      </c>
      <c r="I85" s="271">
        <v>6</v>
      </c>
      <c r="J85" s="271">
        <v>7.2</v>
      </c>
      <c r="K85" s="271">
        <v>45</v>
      </c>
      <c r="L85" s="271">
        <v>90</v>
      </c>
      <c r="M85" s="271">
        <v>1.05</v>
      </c>
      <c r="N85" s="271">
        <v>1.26</v>
      </c>
      <c r="O85" s="322">
        <v>401</v>
      </c>
      <c r="P85" s="326"/>
      <c r="Q85" s="326"/>
      <c r="R85" s="326"/>
      <c r="S85" s="326"/>
    </row>
    <row r="86" spans="1:21" s="327" customFormat="1" ht="13.5" customHeight="1" thickBot="1" x14ac:dyDescent="0.35">
      <c r="A86" s="508"/>
      <c r="B86" s="26" t="s">
        <v>184</v>
      </c>
      <c r="C86" s="31">
        <v>17</v>
      </c>
      <c r="D86" s="144">
        <v>21</v>
      </c>
      <c r="E86" s="360">
        <f>5.6*17/100</f>
        <v>0.95199999999999985</v>
      </c>
      <c r="F86" s="360">
        <f>5.6*21/100</f>
        <v>1.1759999999999999</v>
      </c>
      <c r="G86" s="360">
        <f>1.1*17/100</f>
        <v>0.18700000000000003</v>
      </c>
      <c r="H86" s="360">
        <f>1.1*21/100</f>
        <v>0.23100000000000001</v>
      </c>
      <c r="I86" s="360">
        <f>49.4*17/100</f>
        <v>8.3979999999999997</v>
      </c>
      <c r="J86" s="360">
        <f>49.4*17/100</f>
        <v>8.3979999999999997</v>
      </c>
      <c r="K86" s="360">
        <f>232*17/100</f>
        <v>39.44</v>
      </c>
      <c r="L86" s="360">
        <f>232*21/100</f>
        <v>48.72</v>
      </c>
      <c r="M86" s="360">
        <v>0</v>
      </c>
      <c r="N86" s="360">
        <v>0</v>
      </c>
      <c r="O86" s="361" t="s">
        <v>451</v>
      </c>
      <c r="P86" s="326"/>
      <c r="Q86" s="326"/>
      <c r="R86" s="326"/>
      <c r="S86" s="326"/>
    </row>
    <row r="87" spans="1:21" ht="13.5" customHeight="1" thickBot="1" x14ac:dyDescent="0.35">
      <c r="A87" s="392" t="s">
        <v>95</v>
      </c>
      <c r="B87" s="338"/>
      <c r="C87" s="339"/>
      <c r="D87" s="340"/>
      <c r="E87" s="357">
        <f>SUM(E72:E86)</f>
        <v>58.902470588235296</v>
      </c>
      <c r="F87" s="357">
        <f t="shared" ref="F87:N87" si="3">SUM(F72:F86)</f>
        <v>76.087411616161617</v>
      </c>
      <c r="G87" s="357">
        <f t="shared" si="3"/>
        <v>59.600370588235293</v>
      </c>
      <c r="H87" s="357">
        <f t="shared" si="3"/>
        <v>69.383281313131306</v>
      </c>
      <c r="I87" s="357">
        <f t="shared" si="3"/>
        <v>143.39226470588235</v>
      </c>
      <c r="J87" s="357">
        <f t="shared" si="3"/>
        <v>177.95792323232322</v>
      </c>
      <c r="K87" s="357">
        <f t="shared" si="3"/>
        <v>1290.5561764705883</v>
      </c>
      <c r="L87" s="357">
        <f t="shared" si="3"/>
        <v>1633.3224242424244</v>
      </c>
      <c r="M87" s="357">
        <f t="shared" si="3"/>
        <v>42.167191176470581</v>
      </c>
      <c r="N87" s="357">
        <f t="shared" si="3"/>
        <v>42.607328787878785</v>
      </c>
      <c r="O87" s="356"/>
    </row>
    <row r="88" spans="1:21" ht="14.15" customHeight="1" thickBot="1" x14ac:dyDescent="0.4">
      <c r="A88" s="483" t="s">
        <v>201</v>
      </c>
      <c r="B88" s="484"/>
      <c r="C88" s="484"/>
      <c r="D88" s="484"/>
      <c r="E88" s="484"/>
      <c r="F88" s="484"/>
      <c r="G88" s="484"/>
      <c r="H88" s="484"/>
      <c r="I88" s="484"/>
      <c r="J88" s="484"/>
      <c r="K88" s="484"/>
      <c r="L88" s="484"/>
      <c r="M88" s="484"/>
      <c r="N88" s="484"/>
      <c r="O88" s="485"/>
      <c r="P88" s="192"/>
      <c r="Q88" s="192"/>
      <c r="R88" s="192"/>
      <c r="S88" s="192"/>
      <c r="T88" s="193"/>
      <c r="U88" s="193"/>
    </row>
    <row r="89" spans="1:21" ht="14.15" customHeight="1" thickBot="1" x14ac:dyDescent="0.35">
      <c r="A89" s="494" t="s">
        <v>183</v>
      </c>
      <c r="B89" s="102" t="s">
        <v>79</v>
      </c>
      <c r="C89" s="496" t="s">
        <v>81</v>
      </c>
      <c r="D89" s="497"/>
      <c r="E89" s="498" t="s">
        <v>111</v>
      </c>
      <c r="F89" s="499"/>
      <c r="G89" s="499"/>
      <c r="H89" s="499"/>
      <c r="I89" s="499"/>
      <c r="J89" s="500"/>
      <c r="K89" s="488" t="s">
        <v>182</v>
      </c>
      <c r="L89" s="489"/>
      <c r="M89" s="488" t="s">
        <v>85</v>
      </c>
      <c r="N89" s="489"/>
      <c r="O89" s="501" t="s">
        <v>247</v>
      </c>
    </row>
    <row r="90" spans="1:21" ht="14.15" customHeight="1" thickBot="1" x14ac:dyDescent="0.35">
      <c r="A90" s="495"/>
      <c r="B90" s="330" t="s">
        <v>80</v>
      </c>
      <c r="C90" s="516" t="s">
        <v>80</v>
      </c>
      <c r="D90" s="517"/>
      <c r="E90" s="486" t="s">
        <v>82</v>
      </c>
      <c r="F90" s="487"/>
      <c r="G90" s="486" t="s">
        <v>83</v>
      </c>
      <c r="H90" s="487"/>
      <c r="I90" s="486" t="s">
        <v>84</v>
      </c>
      <c r="J90" s="487"/>
      <c r="K90" s="490"/>
      <c r="L90" s="491"/>
      <c r="M90" s="490"/>
      <c r="N90" s="491"/>
      <c r="O90" s="502"/>
    </row>
    <row r="91" spans="1:21" ht="14.15" customHeight="1" thickBot="1" x14ac:dyDescent="0.35">
      <c r="A91" s="503"/>
      <c r="B91" s="100"/>
      <c r="C91" s="331" t="s">
        <v>180</v>
      </c>
      <c r="D91" s="329" t="s">
        <v>181</v>
      </c>
      <c r="E91" s="346" t="s">
        <v>180</v>
      </c>
      <c r="F91" s="346" t="s">
        <v>181</v>
      </c>
      <c r="G91" s="346" t="s">
        <v>180</v>
      </c>
      <c r="H91" s="346" t="s">
        <v>181</v>
      </c>
      <c r="I91" s="346" t="s">
        <v>180</v>
      </c>
      <c r="J91" s="346" t="s">
        <v>181</v>
      </c>
      <c r="K91" s="346" t="s">
        <v>180</v>
      </c>
      <c r="L91" s="346" t="s">
        <v>181</v>
      </c>
      <c r="M91" s="346" t="s">
        <v>180</v>
      </c>
      <c r="N91" s="346" t="s">
        <v>181</v>
      </c>
      <c r="O91" s="502"/>
    </row>
    <row r="92" spans="1:21" s="327" customFormat="1" ht="14.15" customHeight="1" x14ac:dyDescent="0.3">
      <c r="A92" s="509" t="s">
        <v>86</v>
      </c>
      <c r="B92" s="44" t="s">
        <v>484</v>
      </c>
      <c r="C92" s="59">
        <v>150</v>
      </c>
      <c r="D92" s="59">
        <v>200</v>
      </c>
      <c r="E92" s="373">
        <v>2.12</v>
      </c>
      <c r="F92" s="373">
        <v>2.17</v>
      </c>
      <c r="G92" s="373">
        <v>3.89</v>
      </c>
      <c r="H92" s="373">
        <v>3.89</v>
      </c>
      <c r="I92" s="373">
        <v>26.86</v>
      </c>
      <c r="J92" s="373">
        <v>27.45</v>
      </c>
      <c r="K92" s="373">
        <v>151</v>
      </c>
      <c r="L92" s="373">
        <v>187</v>
      </c>
      <c r="M92" s="373">
        <v>0</v>
      </c>
      <c r="N92" s="373">
        <v>0</v>
      </c>
      <c r="O92" s="374">
        <v>185</v>
      </c>
      <c r="P92" s="326"/>
      <c r="Q92" s="326"/>
      <c r="R92" s="326"/>
      <c r="S92" s="326"/>
    </row>
    <row r="93" spans="1:21" s="327" customFormat="1" ht="14.15" customHeight="1" x14ac:dyDescent="0.3">
      <c r="A93" s="510"/>
      <c r="B93" s="22" t="s">
        <v>473</v>
      </c>
      <c r="C93" s="58">
        <v>24</v>
      </c>
      <c r="D93" s="64">
        <v>30</v>
      </c>
      <c r="E93" s="271">
        <f>7.5*24/100</f>
        <v>1.8</v>
      </c>
      <c r="F93" s="271">
        <f>7.5*30/100</f>
        <v>2.25</v>
      </c>
      <c r="G93" s="271">
        <f>2.9*24/1000</f>
        <v>6.9599999999999995E-2</v>
      </c>
      <c r="H93" s="271">
        <f>2.9*30/1000</f>
        <v>8.6999999999999994E-2</v>
      </c>
      <c r="I93" s="271">
        <f>51.4*24/100</f>
        <v>12.335999999999999</v>
      </c>
      <c r="J93" s="271">
        <f>51.4*30/100</f>
        <v>15.42</v>
      </c>
      <c r="K93" s="271">
        <f>262*24/100</f>
        <v>62.88</v>
      </c>
      <c r="L93" s="271">
        <f>262*30/100</f>
        <v>78.599999999999994</v>
      </c>
      <c r="M93" s="271">
        <f>0</f>
        <v>0</v>
      </c>
      <c r="N93" s="271">
        <v>0</v>
      </c>
      <c r="O93" s="322" t="s">
        <v>505</v>
      </c>
      <c r="P93" s="326"/>
      <c r="Q93" s="326"/>
      <c r="R93" s="326"/>
      <c r="S93" s="326"/>
    </row>
    <row r="94" spans="1:21" s="327" customFormat="1" ht="14.15" customHeight="1" x14ac:dyDescent="0.3">
      <c r="A94" s="510"/>
      <c r="B94" s="255" t="s">
        <v>87</v>
      </c>
      <c r="C94" s="24">
        <v>5</v>
      </c>
      <c r="D94" s="24">
        <v>10</v>
      </c>
      <c r="E94" s="271">
        <f>2.32*5/10</f>
        <v>1.1599999999999999</v>
      </c>
      <c r="F94" s="271">
        <v>2.3199999999999998</v>
      </c>
      <c r="G94" s="271">
        <f>2.95*5/10</f>
        <v>1.4750000000000001</v>
      </c>
      <c r="H94" s="271">
        <v>2.95</v>
      </c>
      <c r="I94" s="271">
        <v>0</v>
      </c>
      <c r="J94" s="271">
        <v>0</v>
      </c>
      <c r="K94" s="271">
        <f>36*5/10</f>
        <v>18</v>
      </c>
      <c r="L94" s="271">
        <v>36</v>
      </c>
      <c r="M94" s="271">
        <f>0.07*5/10</f>
        <v>3.5000000000000003E-2</v>
      </c>
      <c r="N94" s="271">
        <v>7.0000000000000007E-2</v>
      </c>
      <c r="O94" s="322">
        <v>7</v>
      </c>
      <c r="P94" s="326"/>
      <c r="Q94" s="326"/>
      <c r="R94" s="326"/>
      <c r="S94" s="326"/>
    </row>
    <row r="95" spans="1:21" s="327" customFormat="1" ht="14.15" customHeight="1" thickBot="1" x14ac:dyDescent="0.35">
      <c r="A95" s="511"/>
      <c r="B95" s="96" t="s">
        <v>52</v>
      </c>
      <c r="C95" s="31">
        <v>150</v>
      </c>
      <c r="D95" s="31">
        <v>180</v>
      </c>
      <c r="E95" s="360">
        <v>2.65</v>
      </c>
      <c r="F95" s="360">
        <v>2.67</v>
      </c>
      <c r="G95" s="360">
        <v>2.33</v>
      </c>
      <c r="H95" s="360">
        <v>2.67</v>
      </c>
      <c r="I95" s="360">
        <v>11.31</v>
      </c>
      <c r="J95" s="360">
        <v>14.31</v>
      </c>
      <c r="K95" s="360">
        <v>77</v>
      </c>
      <c r="L95" s="360">
        <v>89</v>
      </c>
      <c r="M95" s="360">
        <v>1.19</v>
      </c>
      <c r="N95" s="360">
        <v>1.2</v>
      </c>
      <c r="O95" s="361">
        <v>394</v>
      </c>
      <c r="P95" s="326"/>
      <c r="Q95" s="326"/>
      <c r="R95" s="326"/>
      <c r="S95" s="326"/>
    </row>
    <row r="96" spans="1:21" s="327" customFormat="1" ht="14.15" customHeight="1" thickBot="1" x14ac:dyDescent="0.35">
      <c r="A96" s="391" t="s">
        <v>88</v>
      </c>
      <c r="B96" s="71" t="s">
        <v>89</v>
      </c>
      <c r="C96" s="106">
        <v>200</v>
      </c>
      <c r="D96" s="106">
        <v>200</v>
      </c>
      <c r="E96" s="377">
        <f>0.45*200/150</f>
        <v>0.6</v>
      </c>
      <c r="F96" s="377">
        <f>0.45*200/150</f>
        <v>0.6</v>
      </c>
      <c r="G96" s="377">
        <f>0.15*200/150</f>
        <v>0.2</v>
      </c>
      <c r="H96" s="377">
        <f>0.15*200/150</f>
        <v>0.2</v>
      </c>
      <c r="I96" s="377">
        <f>22.8*200/150</f>
        <v>30.4</v>
      </c>
      <c r="J96" s="377">
        <f>22.8*200/150</f>
        <v>30.4</v>
      </c>
      <c r="K96" s="377">
        <f>94*200/150</f>
        <v>125.33333333333333</v>
      </c>
      <c r="L96" s="377">
        <f>94*200/150</f>
        <v>125.33333333333333</v>
      </c>
      <c r="M96" s="377">
        <f>6*200/150</f>
        <v>8</v>
      </c>
      <c r="N96" s="377">
        <f>6*200/150</f>
        <v>8</v>
      </c>
      <c r="O96" s="378">
        <v>399</v>
      </c>
      <c r="P96" s="326"/>
      <c r="Q96" s="326"/>
      <c r="R96" s="326"/>
      <c r="S96" s="326"/>
    </row>
    <row r="97" spans="1:21" s="327" customFormat="1" ht="14.15" customHeight="1" x14ac:dyDescent="0.3">
      <c r="A97" s="509" t="s">
        <v>90</v>
      </c>
      <c r="B97" s="95" t="s">
        <v>382</v>
      </c>
      <c r="C97" s="59">
        <v>45</v>
      </c>
      <c r="D97" s="59">
        <v>60</v>
      </c>
      <c r="E97" s="373">
        <f>19.69*45/1000</f>
        <v>0.88605000000000012</v>
      </c>
      <c r="F97" s="373">
        <f>19.69*60/1000</f>
        <v>1.1814</v>
      </c>
      <c r="G97" s="373">
        <f>52.42*45/1000</f>
        <v>2.3589000000000002</v>
      </c>
      <c r="H97" s="373">
        <f>52.42*60/1000</f>
        <v>3.1452000000000004</v>
      </c>
      <c r="I97" s="373">
        <f>97.77*45/1000</f>
        <v>4.3996499999999994</v>
      </c>
      <c r="J97" s="373">
        <f>97.77*60/1000</f>
        <v>5.8662000000000001</v>
      </c>
      <c r="K97" s="373">
        <f>942*45/1000</f>
        <v>42.39</v>
      </c>
      <c r="L97" s="373">
        <f>942*60/1000</f>
        <v>56.52</v>
      </c>
      <c r="M97" s="373">
        <f>156.6*45/1000</f>
        <v>7.0469999999999997</v>
      </c>
      <c r="N97" s="373">
        <f>156.6*60/1000</f>
        <v>9.3960000000000008</v>
      </c>
      <c r="O97" s="374">
        <v>25</v>
      </c>
      <c r="P97" s="326"/>
      <c r="Q97" s="326"/>
      <c r="R97" s="326"/>
      <c r="S97" s="326"/>
    </row>
    <row r="98" spans="1:21" s="327" customFormat="1" ht="14.15" customHeight="1" x14ac:dyDescent="0.3">
      <c r="A98" s="510"/>
      <c r="B98" s="255" t="s">
        <v>239</v>
      </c>
      <c r="C98" s="24" t="s">
        <v>189</v>
      </c>
      <c r="D98" s="24" t="s">
        <v>190</v>
      </c>
      <c r="E98" s="271">
        <f>8.85*200/1000</f>
        <v>1.77</v>
      </c>
      <c r="F98" s="271">
        <f>8.85*250/1000</f>
        <v>2.2124999999999999</v>
      </c>
      <c r="G98" s="271">
        <f>20.27*200/1000</f>
        <v>4.0540000000000003</v>
      </c>
      <c r="H98" s="271">
        <f>20.27*250/1000</f>
        <v>5.0674999999999999</v>
      </c>
      <c r="I98" s="271">
        <f>47.69*200/1000</f>
        <v>9.5380000000000003</v>
      </c>
      <c r="J98" s="271">
        <f>47.69*250/1000</f>
        <v>11.922499999999999</v>
      </c>
      <c r="K98" s="271">
        <f>409*200/1000+21.34+59.5</f>
        <v>162.63999999999999</v>
      </c>
      <c r="L98" s="271">
        <f>409*250/1000+21.34+59.5</f>
        <v>183.09</v>
      </c>
      <c r="M98" s="271">
        <f>2*200/1000+0.25</f>
        <v>0.65</v>
      </c>
      <c r="N98" s="271">
        <f>2*250/1000+0.25</f>
        <v>0.75</v>
      </c>
      <c r="O98" s="322">
        <v>86</v>
      </c>
      <c r="P98" s="326"/>
      <c r="Q98" s="326"/>
      <c r="R98" s="326"/>
      <c r="S98" s="326"/>
    </row>
    <row r="99" spans="1:21" s="327" customFormat="1" ht="14.15" customHeight="1" x14ac:dyDescent="0.3">
      <c r="A99" s="510"/>
      <c r="B99" s="255" t="s">
        <v>257</v>
      </c>
      <c r="C99" s="24">
        <v>50</v>
      </c>
      <c r="D99" s="24">
        <v>60</v>
      </c>
      <c r="E99" s="271">
        <f>8.45*50/60</f>
        <v>7.0416666666666661</v>
      </c>
      <c r="F99" s="271">
        <f>8.45</f>
        <v>8.4499999999999993</v>
      </c>
      <c r="G99" s="271">
        <f>8.88*50/60</f>
        <v>7.4000000000000012</v>
      </c>
      <c r="H99" s="271">
        <v>8.8800000000000008</v>
      </c>
      <c r="I99" s="271">
        <f>5.3*50/60</f>
        <v>4.416666666666667</v>
      </c>
      <c r="J99" s="271">
        <v>5.3</v>
      </c>
      <c r="K99" s="271">
        <f>135*50/60</f>
        <v>112.5</v>
      </c>
      <c r="L99" s="271">
        <v>135</v>
      </c>
      <c r="M99" s="271">
        <f>0.24*50/60</f>
        <v>0.2</v>
      </c>
      <c r="N99" s="271">
        <v>0.24</v>
      </c>
      <c r="O99" s="322">
        <v>306</v>
      </c>
      <c r="P99" s="326"/>
      <c r="Q99" s="326"/>
      <c r="R99" s="326"/>
      <c r="S99" s="326"/>
    </row>
    <row r="100" spans="1:21" s="327" customFormat="1" ht="14.15" customHeight="1" x14ac:dyDescent="0.3">
      <c r="A100" s="510"/>
      <c r="B100" s="255" t="s">
        <v>262</v>
      </c>
      <c r="C100" s="24">
        <v>150</v>
      </c>
      <c r="D100" s="24">
        <v>180</v>
      </c>
      <c r="E100" s="271">
        <v>3.13</v>
      </c>
      <c r="F100" s="271">
        <f>3.13*180/150</f>
        <v>3.7559999999999998</v>
      </c>
      <c r="G100" s="271">
        <v>5.56</v>
      </c>
      <c r="H100" s="271">
        <f>5.56*180/150</f>
        <v>6.6719999999999997</v>
      </c>
      <c r="I100" s="271">
        <v>14.38</v>
      </c>
      <c r="J100" s="271">
        <f>14.38*180/150</f>
        <v>17.256</v>
      </c>
      <c r="K100" s="271">
        <v>120</v>
      </c>
      <c r="L100" s="271">
        <f>120*180/150</f>
        <v>144</v>
      </c>
      <c r="M100" s="271">
        <v>24.99</v>
      </c>
      <c r="N100" s="271">
        <f>24.99*180/150</f>
        <v>29.988</v>
      </c>
      <c r="O100" s="322">
        <v>132</v>
      </c>
      <c r="P100" s="326"/>
      <c r="Q100" s="326"/>
      <c r="R100" s="326"/>
      <c r="S100" s="326"/>
    </row>
    <row r="101" spans="1:21" s="327" customFormat="1" ht="14.15" customHeight="1" x14ac:dyDescent="0.3">
      <c r="A101" s="510"/>
      <c r="B101" s="255" t="s">
        <v>168</v>
      </c>
      <c r="C101" s="24">
        <v>150</v>
      </c>
      <c r="D101" s="24">
        <v>180</v>
      </c>
      <c r="E101" s="271">
        <v>0.51</v>
      </c>
      <c r="F101" s="271">
        <v>0.61</v>
      </c>
      <c r="G101" s="271">
        <v>0.21</v>
      </c>
      <c r="H101" s="271">
        <v>0.25</v>
      </c>
      <c r="I101" s="271">
        <v>14.23</v>
      </c>
      <c r="J101" s="271">
        <v>18.670000000000002</v>
      </c>
      <c r="K101" s="271">
        <v>61</v>
      </c>
      <c r="L101" s="271">
        <v>79</v>
      </c>
      <c r="M101" s="271">
        <v>75</v>
      </c>
      <c r="N101" s="271">
        <v>90</v>
      </c>
      <c r="O101" s="322">
        <v>398</v>
      </c>
      <c r="P101" s="326"/>
      <c r="Q101" s="326"/>
      <c r="R101" s="326"/>
      <c r="S101" s="326"/>
    </row>
    <row r="102" spans="1:21" s="327" customFormat="1" ht="14.15" customHeight="1" x14ac:dyDescent="0.3">
      <c r="A102" s="510"/>
      <c r="B102" s="22" t="s">
        <v>177</v>
      </c>
      <c r="C102" s="58">
        <v>20</v>
      </c>
      <c r="D102" s="64">
        <v>25</v>
      </c>
      <c r="E102" s="271">
        <f>7.6*20/100</f>
        <v>1.52</v>
      </c>
      <c r="F102" s="271">
        <f>7.6*25/100</f>
        <v>1.9</v>
      </c>
      <c r="G102" s="271">
        <f>0.8*20/1000</f>
        <v>1.6E-2</v>
      </c>
      <c r="H102" s="271">
        <f>0.8*25/1000</f>
        <v>0.02</v>
      </c>
      <c r="I102" s="271">
        <f>49.2*20/100</f>
        <v>9.84</v>
      </c>
      <c r="J102" s="271">
        <f>49.2*25/100</f>
        <v>12.3</v>
      </c>
      <c r="K102" s="271">
        <f>235*20/100</f>
        <v>47</v>
      </c>
      <c r="L102" s="271">
        <f>235*25/100</f>
        <v>58.75</v>
      </c>
      <c r="M102" s="271">
        <v>0</v>
      </c>
      <c r="N102" s="271">
        <v>0</v>
      </c>
      <c r="O102" s="322" t="s">
        <v>451</v>
      </c>
      <c r="P102" s="326"/>
      <c r="Q102" s="326"/>
      <c r="R102" s="326"/>
      <c r="S102" s="326"/>
    </row>
    <row r="103" spans="1:21" s="327" customFormat="1" ht="14.15" customHeight="1" thickBot="1" x14ac:dyDescent="0.35">
      <c r="A103" s="510"/>
      <c r="B103" s="26" t="s">
        <v>184</v>
      </c>
      <c r="C103" s="31">
        <v>17</v>
      </c>
      <c r="D103" s="144">
        <v>21</v>
      </c>
      <c r="E103" s="360">
        <f>5.6*17/100</f>
        <v>0.95199999999999985</v>
      </c>
      <c r="F103" s="360">
        <f>5.6*21/100</f>
        <v>1.1759999999999999</v>
      </c>
      <c r="G103" s="360">
        <f>1.1*17/100</f>
        <v>0.18700000000000003</v>
      </c>
      <c r="H103" s="360">
        <f>1.1*21/100</f>
        <v>0.23100000000000001</v>
      </c>
      <c r="I103" s="360">
        <f>49.4*17/100</f>
        <v>8.3979999999999997</v>
      </c>
      <c r="J103" s="360">
        <f>49.4*17/100</f>
        <v>8.3979999999999997</v>
      </c>
      <c r="K103" s="360">
        <f>232*17/100</f>
        <v>39.44</v>
      </c>
      <c r="L103" s="360">
        <f>232*21/100</f>
        <v>48.72</v>
      </c>
      <c r="M103" s="360">
        <v>0</v>
      </c>
      <c r="N103" s="360">
        <v>0</v>
      </c>
      <c r="O103" s="361" t="s">
        <v>451</v>
      </c>
      <c r="P103" s="326"/>
      <c r="Q103" s="326"/>
      <c r="R103" s="326"/>
      <c r="S103" s="326"/>
    </row>
    <row r="104" spans="1:21" s="326" customFormat="1" ht="14.15" customHeight="1" x14ac:dyDescent="0.3">
      <c r="A104" s="536" t="s">
        <v>91</v>
      </c>
      <c r="B104" s="95" t="s">
        <v>300</v>
      </c>
      <c r="C104" s="59">
        <v>120</v>
      </c>
      <c r="D104" s="59">
        <v>180</v>
      </c>
      <c r="E104" s="373">
        <v>6.87</v>
      </c>
      <c r="F104" s="373">
        <v>9.14</v>
      </c>
      <c r="G104" s="373">
        <v>3.52</v>
      </c>
      <c r="H104" s="373">
        <v>4.92</v>
      </c>
      <c r="I104" s="373">
        <v>1.49</v>
      </c>
      <c r="J104" s="373">
        <v>1.5</v>
      </c>
      <c r="K104" s="373">
        <v>65</v>
      </c>
      <c r="L104" s="373">
        <v>106</v>
      </c>
      <c r="M104" s="373">
        <v>0.12</v>
      </c>
      <c r="N104" s="373">
        <v>0.09</v>
      </c>
      <c r="O104" s="374">
        <v>252</v>
      </c>
    </row>
    <row r="105" spans="1:21" s="326" customFormat="1" ht="14.15" customHeight="1" x14ac:dyDescent="0.3">
      <c r="A105" s="537"/>
      <c r="B105" s="22" t="s">
        <v>184</v>
      </c>
      <c r="C105" s="24">
        <v>17</v>
      </c>
      <c r="D105" s="25">
        <v>21</v>
      </c>
      <c r="E105" s="375">
        <f>5.6*17/100</f>
        <v>0.95199999999999985</v>
      </c>
      <c r="F105" s="375">
        <f>5.6*21/100</f>
        <v>1.1759999999999999</v>
      </c>
      <c r="G105" s="375">
        <f>1.1*17/100</f>
        <v>0.18700000000000003</v>
      </c>
      <c r="H105" s="375">
        <f>1.1*21/100</f>
        <v>0.23100000000000001</v>
      </c>
      <c r="I105" s="375">
        <f>49.4*17/100</f>
        <v>8.3979999999999997</v>
      </c>
      <c r="J105" s="375">
        <f>49.4*17/100</f>
        <v>8.3979999999999997</v>
      </c>
      <c r="K105" s="375">
        <f>232*17/100</f>
        <v>39.44</v>
      </c>
      <c r="L105" s="375">
        <f>232*21/100</f>
        <v>48.72</v>
      </c>
      <c r="M105" s="375">
        <v>0</v>
      </c>
      <c r="N105" s="375">
        <v>0</v>
      </c>
      <c r="O105" s="322" t="s">
        <v>451</v>
      </c>
    </row>
    <row r="106" spans="1:21" s="326" customFormat="1" ht="14.15" customHeight="1" thickBot="1" x14ac:dyDescent="0.35">
      <c r="A106" s="537"/>
      <c r="B106" s="255" t="s">
        <v>215</v>
      </c>
      <c r="C106" s="24" t="s">
        <v>220</v>
      </c>
      <c r="D106" s="24" t="s">
        <v>226</v>
      </c>
      <c r="E106" s="271">
        <v>0.04</v>
      </c>
      <c r="F106" s="271">
        <v>0.06</v>
      </c>
      <c r="G106" s="271">
        <v>0.01</v>
      </c>
      <c r="H106" s="271">
        <v>0.02</v>
      </c>
      <c r="I106" s="271">
        <v>6.99</v>
      </c>
      <c r="J106" s="271">
        <v>9.99</v>
      </c>
      <c r="K106" s="271">
        <v>28</v>
      </c>
      <c r="L106" s="271">
        <v>40</v>
      </c>
      <c r="M106" s="271">
        <v>0.02</v>
      </c>
      <c r="N106" s="271">
        <v>0.03</v>
      </c>
      <c r="O106" s="322">
        <v>392</v>
      </c>
    </row>
    <row r="107" spans="1:21" s="326" customFormat="1" ht="14.15" customHeight="1" thickBot="1" x14ac:dyDescent="0.35">
      <c r="A107" s="538"/>
      <c r="B107" s="180" t="s">
        <v>169</v>
      </c>
      <c r="C107" s="334">
        <v>100</v>
      </c>
      <c r="D107" s="382">
        <v>100</v>
      </c>
      <c r="E107" s="383">
        <v>0.4</v>
      </c>
      <c r="F107" s="383">
        <v>0.4</v>
      </c>
      <c r="G107" s="383">
        <v>0.4</v>
      </c>
      <c r="H107" s="383">
        <v>0.4</v>
      </c>
      <c r="I107" s="383">
        <v>9.8000000000000007</v>
      </c>
      <c r="J107" s="383">
        <v>9.8000000000000007</v>
      </c>
      <c r="K107" s="383">
        <v>44</v>
      </c>
      <c r="L107" s="383">
        <v>44</v>
      </c>
      <c r="M107" s="383">
        <v>10</v>
      </c>
      <c r="N107" s="383">
        <v>10</v>
      </c>
      <c r="O107" s="154">
        <v>368</v>
      </c>
    </row>
    <row r="108" spans="1:21" ht="14.15" customHeight="1" thickBot="1" x14ac:dyDescent="0.35">
      <c r="A108" s="392" t="s">
        <v>95</v>
      </c>
      <c r="B108" s="341"/>
      <c r="C108" s="198"/>
      <c r="D108" s="198"/>
      <c r="E108" s="358">
        <f>SUM(E92:E107)</f>
        <v>32.401716666666665</v>
      </c>
      <c r="F108" s="358">
        <f t="shared" ref="F108:N108" si="4">SUM(F92:F107)</f>
        <v>40.071899999999999</v>
      </c>
      <c r="G108" s="358">
        <f t="shared" si="4"/>
        <v>31.8675</v>
      </c>
      <c r="H108" s="358">
        <f t="shared" si="4"/>
        <v>39.633700000000012</v>
      </c>
      <c r="I108" s="358">
        <f t="shared" si="4"/>
        <v>172.78631666666669</v>
      </c>
      <c r="J108" s="358">
        <f t="shared" si="4"/>
        <v>196.98070000000001</v>
      </c>
      <c r="K108" s="358">
        <f t="shared" si="4"/>
        <v>1195.6233333333334</v>
      </c>
      <c r="L108" s="358">
        <f t="shared" si="4"/>
        <v>1459.7333333333336</v>
      </c>
      <c r="M108" s="358">
        <f t="shared" si="4"/>
        <v>127.252</v>
      </c>
      <c r="N108" s="358">
        <f t="shared" si="4"/>
        <v>149.76400000000001</v>
      </c>
      <c r="O108" s="359"/>
    </row>
    <row r="109" spans="1:21" ht="14.15" customHeight="1" thickBot="1" x14ac:dyDescent="0.4">
      <c r="A109" s="483" t="s">
        <v>202</v>
      </c>
      <c r="B109" s="484"/>
      <c r="C109" s="514"/>
      <c r="D109" s="484"/>
      <c r="E109" s="484"/>
      <c r="F109" s="484"/>
      <c r="G109" s="484"/>
      <c r="H109" s="484"/>
      <c r="I109" s="484"/>
      <c r="J109" s="484"/>
      <c r="K109" s="484"/>
      <c r="L109" s="484"/>
      <c r="M109" s="484"/>
      <c r="N109" s="484"/>
      <c r="O109" s="485"/>
      <c r="P109" s="192"/>
      <c r="Q109" s="192"/>
      <c r="R109" s="192"/>
      <c r="S109" s="192"/>
      <c r="T109" s="193"/>
      <c r="U109" s="193"/>
    </row>
    <row r="110" spans="1:21" ht="14.15" customHeight="1" thickBot="1" x14ac:dyDescent="0.35">
      <c r="A110" s="494" t="s">
        <v>183</v>
      </c>
      <c r="B110" s="102" t="s">
        <v>79</v>
      </c>
      <c r="C110" s="496" t="s">
        <v>81</v>
      </c>
      <c r="D110" s="497"/>
      <c r="E110" s="498" t="s">
        <v>111</v>
      </c>
      <c r="F110" s="499"/>
      <c r="G110" s="499"/>
      <c r="H110" s="499"/>
      <c r="I110" s="499"/>
      <c r="J110" s="500"/>
      <c r="K110" s="488" t="s">
        <v>182</v>
      </c>
      <c r="L110" s="489"/>
      <c r="M110" s="488" t="s">
        <v>85</v>
      </c>
      <c r="N110" s="489"/>
      <c r="O110" s="501" t="s">
        <v>247</v>
      </c>
    </row>
    <row r="111" spans="1:21" ht="14.15" customHeight="1" thickBot="1" x14ac:dyDescent="0.35">
      <c r="A111" s="495"/>
      <c r="B111" s="330" t="s">
        <v>80</v>
      </c>
      <c r="C111" s="516" t="s">
        <v>80</v>
      </c>
      <c r="D111" s="517"/>
      <c r="E111" s="486" t="s">
        <v>82</v>
      </c>
      <c r="F111" s="487"/>
      <c r="G111" s="486" t="s">
        <v>83</v>
      </c>
      <c r="H111" s="487"/>
      <c r="I111" s="486" t="s">
        <v>84</v>
      </c>
      <c r="J111" s="487"/>
      <c r="K111" s="490"/>
      <c r="L111" s="491"/>
      <c r="M111" s="490"/>
      <c r="N111" s="491"/>
      <c r="O111" s="502"/>
    </row>
    <row r="112" spans="1:21" ht="14.15" customHeight="1" thickBot="1" x14ac:dyDescent="0.35">
      <c r="A112" s="495"/>
      <c r="B112" s="184"/>
      <c r="C112" s="331" t="s">
        <v>180</v>
      </c>
      <c r="D112" s="328" t="s">
        <v>181</v>
      </c>
      <c r="E112" s="346" t="s">
        <v>180</v>
      </c>
      <c r="F112" s="349" t="s">
        <v>181</v>
      </c>
      <c r="G112" s="346" t="s">
        <v>180</v>
      </c>
      <c r="H112" s="346" t="s">
        <v>181</v>
      </c>
      <c r="I112" s="346" t="s">
        <v>180</v>
      </c>
      <c r="J112" s="346" t="s">
        <v>181</v>
      </c>
      <c r="K112" s="346" t="s">
        <v>180</v>
      </c>
      <c r="L112" s="346" t="s">
        <v>181</v>
      </c>
      <c r="M112" s="346" t="s">
        <v>180</v>
      </c>
      <c r="N112" s="346" t="s">
        <v>181</v>
      </c>
      <c r="O112" s="502"/>
    </row>
    <row r="113" spans="1:21" s="327" customFormat="1" ht="14.15" customHeight="1" x14ac:dyDescent="0.3">
      <c r="A113" s="480" t="s">
        <v>86</v>
      </c>
      <c r="B113" s="44" t="s">
        <v>103</v>
      </c>
      <c r="C113" s="59">
        <v>160</v>
      </c>
      <c r="D113" s="59">
        <v>210</v>
      </c>
      <c r="E113" s="373">
        <v>2.4</v>
      </c>
      <c r="F113" s="373">
        <v>3.18</v>
      </c>
      <c r="G113" s="373">
        <v>3.82</v>
      </c>
      <c r="H113" s="373">
        <v>3.89</v>
      </c>
      <c r="I113" s="373">
        <v>21.04</v>
      </c>
      <c r="J113" s="373">
        <v>26.38</v>
      </c>
      <c r="K113" s="373">
        <v>128</v>
      </c>
      <c r="L113" s="373">
        <v>153</v>
      </c>
      <c r="M113" s="373">
        <v>0</v>
      </c>
      <c r="N113" s="373">
        <v>0</v>
      </c>
      <c r="O113" s="374">
        <v>185</v>
      </c>
      <c r="P113" s="326"/>
      <c r="Q113" s="326"/>
      <c r="R113" s="326"/>
      <c r="S113" s="326"/>
    </row>
    <row r="114" spans="1:21" s="327" customFormat="1" ht="14.15" customHeight="1" x14ac:dyDescent="0.3">
      <c r="A114" s="481"/>
      <c r="B114" s="22" t="s">
        <v>259</v>
      </c>
      <c r="C114" s="30" t="s">
        <v>293</v>
      </c>
      <c r="D114" s="30" t="s">
        <v>354</v>
      </c>
      <c r="E114" s="271">
        <f>4.73*39/45</f>
        <v>4.0993333333333339</v>
      </c>
      <c r="F114" s="271">
        <v>4.7300000000000004</v>
      </c>
      <c r="G114" s="271">
        <f>6.88*39/45</f>
        <v>5.9626666666666663</v>
      </c>
      <c r="H114" s="271">
        <v>6.88</v>
      </c>
      <c r="I114" s="271">
        <f>14.56*39/45</f>
        <v>12.618666666666668</v>
      </c>
      <c r="J114" s="271">
        <v>14.56</v>
      </c>
      <c r="K114" s="271">
        <f>139*39/45</f>
        <v>120.46666666666667</v>
      </c>
      <c r="L114" s="271">
        <v>139</v>
      </c>
      <c r="M114" s="271">
        <f>0.07*39/45</f>
        <v>6.0666666666666674E-2</v>
      </c>
      <c r="N114" s="271">
        <v>7.0000000000000007E-2</v>
      </c>
      <c r="O114" s="322">
        <v>3</v>
      </c>
      <c r="P114" s="326"/>
      <c r="Q114" s="326"/>
      <c r="R114" s="326"/>
      <c r="S114" s="326"/>
    </row>
    <row r="115" spans="1:21" s="327" customFormat="1" ht="14.15" customHeight="1" thickBot="1" x14ac:dyDescent="0.35">
      <c r="A115" s="508"/>
      <c r="B115" s="26" t="s">
        <v>55</v>
      </c>
      <c r="C115" s="31">
        <v>150</v>
      </c>
      <c r="D115" s="31">
        <v>180</v>
      </c>
      <c r="E115" s="360">
        <v>3.15</v>
      </c>
      <c r="F115" s="360">
        <v>3.67</v>
      </c>
      <c r="G115" s="360">
        <v>2.72</v>
      </c>
      <c r="H115" s="360">
        <v>3.19</v>
      </c>
      <c r="I115" s="360">
        <v>12.96</v>
      </c>
      <c r="J115" s="360">
        <v>15.33</v>
      </c>
      <c r="K115" s="360">
        <v>89</v>
      </c>
      <c r="L115" s="360">
        <v>107</v>
      </c>
      <c r="M115" s="360">
        <v>1.2</v>
      </c>
      <c r="N115" s="360">
        <v>1.43</v>
      </c>
      <c r="O115" s="361">
        <v>397</v>
      </c>
      <c r="P115" s="326"/>
      <c r="Q115" s="326"/>
      <c r="R115" s="326"/>
      <c r="S115" s="326"/>
    </row>
    <row r="116" spans="1:21" s="327" customFormat="1" ht="14.15" customHeight="1" thickBot="1" x14ac:dyDescent="0.35">
      <c r="A116" s="393" t="s">
        <v>88</v>
      </c>
      <c r="B116" s="71" t="s">
        <v>89</v>
      </c>
      <c r="C116" s="106">
        <v>200</v>
      </c>
      <c r="D116" s="106">
        <v>200</v>
      </c>
      <c r="E116" s="384">
        <f>0.45*200/150</f>
        <v>0.6</v>
      </c>
      <c r="F116" s="384">
        <f>0.45*200/150</f>
        <v>0.6</v>
      </c>
      <c r="G116" s="384">
        <f>0.15*200/150</f>
        <v>0.2</v>
      </c>
      <c r="H116" s="384">
        <f>0.15*200/150</f>
        <v>0.2</v>
      </c>
      <c r="I116" s="384">
        <f>22.8*200/150</f>
        <v>30.4</v>
      </c>
      <c r="J116" s="384">
        <f>22.8*200/150</f>
        <v>30.4</v>
      </c>
      <c r="K116" s="384">
        <f>94*200/150</f>
        <v>125.33333333333333</v>
      </c>
      <c r="L116" s="384">
        <f>94*200/150</f>
        <v>125.33333333333333</v>
      </c>
      <c r="M116" s="384">
        <f>6*200/150</f>
        <v>8</v>
      </c>
      <c r="N116" s="384">
        <f>6*200/150</f>
        <v>8</v>
      </c>
      <c r="O116" s="385">
        <v>399</v>
      </c>
      <c r="P116" s="326"/>
      <c r="Q116" s="326"/>
      <c r="R116" s="326"/>
      <c r="S116" s="326"/>
    </row>
    <row r="117" spans="1:21" s="327" customFormat="1" ht="14.15" customHeight="1" x14ac:dyDescent="0.3">
      <c r="A117" s="480" t="s">
        <v>90</v>
      </c>
      <c r="B117" s="44" t="s">
        <v>373</v>
      </c>
      <c r="C117" s="59">
        <v>45</v>
      </c>
      <c r="D117" s="59">
        <v>60</v>
      </c>
      <c r="E117" s="373">
        <f>19.86*45/1000</f>
        <v>0.89369999999999994</v>
      </c>
      <c r="F117" s="373">
        <f>19.86*60/1000</f>
        <v>1.1916</v>
      </c>
      <c r="G117" s="373">
        <f>52.45*45/1000</f>
        <v>2.3602500000000002</v>
      </c>
      <c r="H117" s="373">
        <f>52.45*60/1000</f>
        <v>3.1469999999999998</v>
      </c>
      <c r="I117" s="373">
        <f>115.2*45/1000</f>
        <v>5.1840000000000002</v>
      </c>
      <c r="J117" s="373">
        <f>115.2*60/1000</f>
        <v>6.9119999999999999</v>
      </c>
      <c r="K117" s="373">
        <f>1012*45/1000</f>
        <v>45.54</v>
      </c>
      <c r="L117" s="373">
        <f>1012*60/1000</f>
        <v>60.72</v>
      </c>
      <c r="M117" s="373">
        <f>260.3*45/1000</f>
        <v>11.7135</v>
      </c>
      <c r="N117" s="373">
        <f>260.3*60/1000</f>
        <v>15.618</v>
      </c>
      <c r="O117" s="374">
        <v>47</v>
      </c>
      <c r="P117" s="326"/>
      <c r="Q117" s="326"/>
      <c r="R117" s="326"/>
      <c r="S117" s="326"/>
    </row>
    <row r="118" spans="1:21" s="327" customFormat="1" ht="14.15" customHeight="1" x14ac:dyDescent="0.3">
      <c r="A118" s="481"/>
      <c r="B118" s="22" t="s">
        <v>312</v>
      </c>
      <c r="C118" s="24">
        <v>200</v>
      </c>
      <c r="D118" s="24">
        <v>250</v>
      </c>
      <c r="E118" s="271">
        <f>26.54*200/1000</f>
        <v>5.3079999999999998</v>
      </c>
      <c r="F118" s="271">
        <f>26.54*250/1000</f>
        <v>6.6349999999999998</v>
      </c>
      <c r="G118" s="271">
        <f>20.72*200/1000</f>
        <v>4.1440000000000001</v>
      </c>
      <c r="H118" s="271">
        <f>20.72*250/1000</f>
        <v>5.18</v>
      </c>
      <c r="I118" s="271">
        <f>61.77*200/1000</f>
        <v>12.353999999999999</v>
      </c>
      <c r="J118" s="271">
        <f>61.77*250/1000</f>
        <v>15.442500000000001</v>
      </c>
      <c r="K118" s="271">
        <f>540*200/1000</f>
        <v>108</v>
      </c>
      <c r="L118" s="271">
        <f>540*250/1000</f>
        <v>135</v>
      </c>
      <c r="M118" s="271">
        <f>44.8*200/1000</f>
        <v>8.9600000000000009</v>
      </c>
      <c r="N118" s="271">
        <f>44.8*250/1000</f>
        <v>11.2</v>
      </c>
      <c r="O118" s="322">
        <v>83</v>
      </c>
      <c r="P118" s="326"/>
      <c r="Q118" s="326"/>
      <c r="R118" s="326"/>
      <c r="S118" s="326"/>
    </row>
    <row r="119" spans="1:21" s="327" customFormat="1" ht="14.15" customHeight="1" x14ac:dyDescent="0.3">
      <c r="A119" s="481"/>
      <c r="B119" s="22" t="s">
        <v>307</v>
      </c>
      <c r="C119" s="24">
        <v>150</v>
      </c>
      <c r="D119" s="24">
        <v>180</v>
      </c>
      <c r="E119" s="271">
        <f>16.59*150/160</f>
        <v>15.553125</v>
      </c>
      <c r="F119" s="271">
        <f>22.26*180/210</f>
        <v>19.080000000000002</v>
      </c>
      <c r="G119" s="271">
        <f>5.81*150/160</f>
        <v>5.4468749999999995</v>
      </c>
      <c r="H119" s="271">
        <f>7.73*180/210</f>
        <v>6.6257142857142863</v>
      </c>
      <c r="I119" s="271">
        <f>26.76*150/160</f>
        <v>25.087500000000002</v>
      </c>
      <c r="J119" s="271">
        <f>35.69*180/200</f>
        <v>32.121000000000002</v>
      </c>
      <c r="K119" s="271">
        <f>226*150/160</f>
        <v>211.875</v>
      </c>
      <c r="L119" s="271">
        <f>301*180/210</f>
        <v>258</v>
      </c>
      <c r="M119" s="271">
        <f>0.41*150/160</f>
        <v>0.38437499999999997</v>
      </c>
      <c r="N119" s="271">
        <v>1.01</v>
      </c>
      <c r="O119" s="322">
        <v>304</v>
      </c>
      <c r="P119" s="326"/>
      <c r="Q119" s="326"/>
      <c r="R119" s="326"/>
      <c r="S119" s="326"/>
    </row>
    <row r="120" spans="1:21" s="327" customFormat="1" ht="14.15" customHeight="1" x14ac:dyDescent="0.3">
      <c r="A120" s="481"/>
      <c r="B120" s="22" t="s">
        <v>374</v>
      </c>
      <c r="C120" s="24">
        <v>150</v>
      </c>
      <c r="D120" s="24">
        <v>180</v>
      </c>
      <c r="E120" s="271">
        <f>0.8*150/1000</f>
        <v>0.12</v>
      </c>
      <c r="F120" s="271">
        <f>0.8*180/1000</f>
        <v>0.14399999999999999</v>
      </c>
      <c r="G120" s="271">
        <f>0.8*150/1000</f>
        <v>0.12</v>
      </c>
      <c r="H120" s="271">
        <f>0.8*180/1000</f>
        <v>0.14399999999999999</v>
      </c>
      <c r="I120" s="271">
        <f>119.4*150/1000</f>
        <v>17.91</v>
      </c>
      <c r="J120" s="271">
        <f>119.4*180/1000</f>
        <v>21.492000000000001</v>
      </c>
      <c r="K120" s="271">
        <f>488*150/1000</f>
        <v>73.2</v>
      </c>
      <c r="L120" s="271">
        <f>488*180/1000</f>
        <v>87.84</v>
      </c>
      <c r="M120" s="271">
        <f>8.6*150/1000</f>
        <v>1.29</v>
      </c>
      <c r="N120" s="271">
        <f>8.6*180/1000</f>
        <v>1.548</v>
      </c>
      <c r="O120" s="322">
        <v>372</v>
      </c>
      <c r="P120" s="326"/>
      <c r="Q120" s="326"/>
      <c r="R120" s="326"/>
      <c r="S120" s="326"/>
    </row>
    <row r="121" spans="1:21" s="327" customFormat="1" ht="14.15" customHeight="1" x14ac:dyDescent="0.3">
      <c r="A121" s="481"/>
      <c r="B121" s="22" t="s">
        <v>177</v>
      </c>
      <c r="C121" s="58">
        <v>20</v>
      </c>
      <c r="D121" s="58">
        <v>25</v>
      </c>
      <c r="E121" s="271">
        <f>7.6*20/100</f>
        <v>1.52</v>
      </c>
      <c r="F121" s="271">
        <f>7.6*25/100</f>
        <v>1.9</v>
      </c>
      <c r="G121" s="271">
        <f>0.8*20/1000</f>
        <v>1.6E-2</v>
      </c>
      <c r="H121" s="271">
        <f>0.8*25/1000</f>
        <v>0.02</v>
      </c>
      <c r="I121" s="271">
        <f>49.2*20/100</f>
        <v>9.84</v>
      </c>
      <c r="J121" s="271">
        <f>49.2*25/100</f>
        <v>12.3</v>
      </c>
      <c r="K121" s="271">
        <f>235*20/100</f>
        <v>47</v>
      </c>
      <c r="L121" s="271">
        <f>235*25/100</f>
        <v>58.75</v>
      </c>
      <c r="M121" s="271">
        <v>0</v>
      </c>
      <c r="N121" s="271">
        <v>0</v>
      </c>
      <c r="O121" s="322" t="s">
        <v>451</v>
      </c>
      <c r="P121" s="326"/>
      <c r="Q121" s="326"/>
      <c r="R121" s="326"/>
      <c r="S121" s="326"/>
    </row>
    <row r="122" spans="1:21" s="327" customFormat="1" ht="14.15" customHeight="1" thickBot="1" x14ac:dyDescent="0.35">
      <c r="A122" s="482"/>
      <c r="B122" s="36" t="s">
        <v>184</v>
      </c>
      <c r="C122" s="21">
        <v>17</v>
      </c>
      <c r="D122" s="21">
        <v>21</v>
      </c>
      <c r="E122" s="375">
        <f>5.6*17/100</f>
        <v>0.95199999999999985</v>
      </c>
      <c r="F122" s="375">
        <f>5.6*21/100</f>
        <v>1.1759999999999999</v>
      </c>
      <c r="G122" s="375">
        <f>1.1*17/100</f>
        <v>0.18700000000000003</v>
      </c>
      <c r="H122" s="375">
        <f>1.1*21/100</f>
        <v>0.23100000000000001</v>
      </c>
      <c r="I122" s="375">
        <f>49.4*17/100</f>
        <v>8.3979999999999997</v>
      </c>
      <c r="J122" s="375">
        <f>49.4*17/100</f>
        <v>8.3979999999999997</v>
      </c>
      <c r="K122" s="375">
        <f>232*17/100</f>
        <v>39.44</v>
      </c>
      <c r="L122" s="375">
        <f>232*21/100</f>
        <v>48.72</v>
      </c>
      <c r="M122" s="375">
        <v>0</v>
      </c>
      <c r="N122" s="375">
        <v>0</v>
      </c>
      <c r="O122" s="376" t="s">
        <v>451</v>
      </c>
      <c r="P122" s="326"/>
      <c r="Q122" s="326"/>
      <c r="R122" s="326"/>
      <c r="S122" s="326"/>
    </row>
    <row r="123" spans="1:21" s="327" customFormat="1" ht="14.15" customHeight="1" x14ac:dyDescent="0.3">
      <c r="A123" s="505" t="s">
        <v>91</v>
      </c>
      <c r="B123" s="44" t="s">
        <v>376</v>
      </c>
      <c r="C123" s="59">
        <v>75</v>
      </c>
      <c r="D123" s="59">
        <v>110</v>
      </c>
      <c r="E123" s="373">
        <v>9.49</v>
      </c>
      <c r="F123" s="373">
        <v>13</v>
      </c>
      <c r="G123" s="373">
        <v>4.97</v>
      </c>
      <c r="H123" s="373">
        <v>7.6</v>
      </c>
      <c r="I123" s="373">
        <v>6.21</v>
      </c>
      <c r="J123" s="373">
        <v>9.6300000000000008</v>
      </c>
      <c r="K123" s="373">
        <v>107</v>
      </c>
      <c r="L123" s="373">
        <v>159</v>
      </c>
      <c r="M123" s="373">
        <v>0.14000000000000001</v>
      </c>
      <c r="N123" s="373">
        <v>0.2</v>
      </c>
      <c r="O123" s="374">
        <v>269</v>
      </c>
      <c r="P123" s="326"/>
      <c r="Q123" s="326"/>
      <c r="R123" s="326"/>
      <c r="S123" s="326"/>
    </row>
    <row r="124" spans="1:21" s="327" customFormat="1" ht="14.15" customHeight="1" x14ac:dyDescent="0.3">
      <c r="A124" s="506"/>
      <c r="B124" s="22" t="s">
        <v>371</v>
      </c>
      <c r="C124" s="24">
        <v>155</v>
      </c>
      <c r="D124" s="24">
        <v>155</v>
      </c>
      <c r="E124" s="271">
        <v>5.68</v>
      </c>
      <c r="F124" s="271">
        <v>5.68</v>
      </c>
      <c r="G124" s="271">
        <v>4.3600000000000003</v>
      </c>
      <c r="H124" s="271">
        <v>4.3600000000000003</v>
      </c>
      <c r="I124" s="271">
        <v>27.25</v>
      </c>
      <c r="J124" s="271">
        <v>27.25</v>
      </c>
      <c r="K124" s="271">
        <v>171</v>
      </c>
      <c r="L124" s="271">
        <v>171</v>
      </c>
      <c r="M124" s="271">
        <v>0</v>
      </c>
      <c r="N124" s="271">
        <v>0</v>
      </c>
      <c r="O124" s="322">
        <v>205</v>
      </c>
      <c r="P124" s="326"/>
      <c r="Q124" s="326"/>
      <c r="R124" s="326"/>
      <c r="S124" s="326"/>
    </row>
    <row r="125" spans="1:21" s="327" customFormat="1" ht="14.15" customHeight="1" x14ac:dyDescent="0.3">
      <c r="A125" s="506"/>
      <c r="B125" s="22" t="s">
        <v>449</v>
      </c>
      <c r="C125" s="24">
        <v>150</v>
      </c>
      <c r="D125" s="25">
        <v>180</v>
      </c>
      <c r="E125" s="271">
        <v>0.14000000000000001</v>
      </c>
      <c r="F125" s="271">
        <v>0.18</v>
      </c>
      <c r="G125" s="271">
        <v>0.01</v>
      </c>
      <c r="H125" s="271">
        <v>0.02</v>
      </c>
      <c r="I125" s="271">
        <v>9.6199999999999992</v>
      </c>
      <c r="J125" s="271">
        <v>12.03</v>
      </c>
      <c r="K125" s="271">
        <v>39</v>
      </c>
      <c r="L125" s="271">
        <v>49</v>
      </c>
      <c r="M125" s="271">
        <v>0.02</v>
      </c>
      <c r="N125" s="271">
        <v>0.03</v>
      </c>
      <c r="O125" s="322">
        <v>392</v>
      </c>
      <c r="P125" s="326"/>
      <c r="Q125" s="326"/>
      <c r="R125" s="326"/>
      <c r="S125" s="326"/>
    </row>
    <row r="126" spans="1:21" s="327" customFormat="1" ht="14.15" customHeight="1" thickBot="1" x14ac:dyDescent="0.35">
      <c r="A126" s="507"/>
      <c r="B126" s="26" t="s">
        <v>184</v>
      </c>
      <c r="C126" s="31">
        <v>17</v>
      </c>
      <c r="D126" s="31">
        <v>21</v>
      </c>
      <c r="E126" s="360">
        <f>5.6*17/100</f>
        <v>0.95199999999999985</v>
      </c>
      <c r="F126" s="360">
        <f>5.6*21/100</f>
        <v>1.1759999999999999</v>
      </c>
      <c r="G126" s="360">
        <f>1.1*17/100</f>
        <v>0.18700000000000003</v>
      </c>
      <c r="H126" s="360">
        <f>1.1*21/100</f>
        <v>0.23100000000000001</v>
      </c>
      <c r="I126" s="360">
        <f>49.4*17/100</f>
        <v>8.3979999999999997</v>
      </c>
      <c r="J126" s="360">
        <f>49.4*17/100</f>
        <v>8.3979999999999997</v>
      </c>
      <c r="K126" s="360">
        <f>232*17/100</f>
        <v>39.44</v>
      </c>
      <c r="L126" s="360">
        <f>232*21/100</f>
        <v>48.72</v>
      </c>
      <c r="M126" s="360">
        <v>0</v>
      </c>
      <c r="N126" s="360">
        <v>0</v>
      </c>
      <c r="O126" s="361" t="s">
        <v>451</v>
      </c>
      <c r="P126" s="326"/>
      <c r="Q126" s="326"/>
      <c r="R126" s="326"/>
      <c r="S126" s="326"/>
    </row>
    <row r="127" spans="1:21" ht="14.15" customHeight="1" thickBot="1" x14ac:dyDescent="0.35">
      <c r="A127" s="392" t="s">
        <v>95</v>
      </c>
      <c r="B127" s="197"/>
      <c r="C127" s="198"/>
      <c r="D127" s="199"/>
      <c r="E127" s="358">
        <f>SUM(E113:E126)</f>
        <v>50.858158333333336</v>
      </c>
      <c r="F127" s="358">
        <f t="shared" ref="F127:N127" si="5">SUM(F113:F126)</f>
        <v>62.342600000000004</v>
      </c>
      <c r="G127" s="358">
        <f t="shared" si="5"/>
        <v>34.503791666666658</v>
      </c>
      <c r="H127" s="358">
        <f t="shared" si="5"/>
        <v>41.718714285714285</v>
      </c>
      <c r="I127" s="358">
        <f t="shared" si="5"/>
        <v>207.27016666666668</v>
      </c>
      <c r="J127" s="358">
        <f t="shared" si="5"/>
        <v>240.64349999999999</v>
      </c>
      <c r="K127" s="358">
        <f t="shared" si="5"/>
        <v>1344.2950000000001</v>
      </c>
      <c r="L127" s="358">
        <f t="shared" si="5"/>
        <v>1601.0833333333335</v>
      </c>
      <c r="M127" s="358">
        <f t="shared" si="5"/>
        <v>31.768541666666668</v>
      </c>
      <c r="N127" s="358">
        <f t="shared" si="5"/>
        <v>39.106000000000002</v>
      </c>
      <c r="O127" s="210"/>
    </row>
    <row r="128" spans="1:21" ht="15.75" customHeight="1" thickBot="1" x14ac:dyDescent="0.4">
      <c r="A128" s="483" t="s">
        <v>203</v>
      </c>
      <c r="B128" s="484"/>
      <c r="C128" s="514"/>
      <c r="D128" s="484"/>
      <c r="E128" s="484"/>
      <c r="F128" s="484"/>
      <c r="G128" s="484"/>
      <c r="H128" s="484"/>
      <c r="I128" s="484"/>
      <c r="J128" s="484"/>
      <c r="K128" s="484"/>
      <c r="L128" s="484"/>
      <c r="M128" s="484"/>
      <c r="N128" s="484"/>
      <c r="O128" s="485"/>
      <c r="P128" s="192"/>
      <c r="Q128" s="192"/>
      <c r="R128" s="192"/>
      <c r="S128" s="192"/>
      <c r="T128" s="193"/>
      <c r="U128" s="193"/>
    </row>
    <row r="129" spans="1:19" ht="13" customHeight="1" thickBot="1" x14ac:dyDescent="0.35">
      <c r="A129" s="494" t="s">
        <v>183</v>
      </c>
      <c r="B129" s="102" t="s">
        <v>79</v>
      </c>
      <c r="C129" s="496" t="s">
        <v>81</v>
      </c>
      <c r="D129" s="497"/>
      <c r="E129" s="498" t="s">
        <v>111</v>
      </c>
      <c r="F129" s="499"/>
      <c r="G129" s="499"/>
      <c r="H129" s="499"/>
      <c r="I129" s="499"/>
      <c r="J129" s="500"/>
      <c r="K129" s="488" t="s">
        <v>182</v>
      </c>
      <c r="L129" s="489"/>
      <c r="M129" s="488" t="s">
        <v>85</v>
      </c>
      <c r="N129" s="489"/>
      <c r="O129" s="501" t="s">
        <v>247</v>
      </c>
    </row>
    <row r="130" spans="1:19" ht="13" customHeight="1" thickBot="1" x14ac:dyDescent="0.35">
      <c r="A130" s="495"/>
      <c r="B130" s="330" t="s">
        <v>80</v>
      </c>
      <c r="C130" s="516" t="s">
        <v>80</v>
      </c>
      <c r="D130" s="517"/>
      <c r="E130" s="486" t="s">
        <v>82</v>
      </c>
      <c r="F130" s="487"/>
      <c r="G130" s="486" t="s">
        <v>83</v>
      </c>
      <c r="H130" s="487"/>
      <c r="I130" s="486" t="s">
        <v>84</v>
      </c>
      <c r="J130" s="487"/>
      <c r="K130" s="490"/>
      <c r="L130" s="491"/>
      <c r="M130" s="490"/>
      <c r="N130" s="491"/>
      <c r="O130" s="502"/>
    </row>
    <row r="131" spans="1:19" ht="13" customHeight="1" thickBot="1" x14ac:dyDescent="0.35">
      <c r="A131" s="495"/>
      <c r="B131" s="184"/>
      <c r="C131" s="331" t="s">
        <v>180</v>
      </c>
      <c r="D131" s="331" t="s">
        <v>181</v>
      </c>
      <c r="E131" s="346" t="s">
        <v>180</v>
      </c>
      <c r="F131" s="346" t="s">
        <v>181</v>
      </c>
      <c r="G131" s="346" t="s">
        <v>180</v>
      </c>
      <c r="H131" s="346" t="s">
        <v>181</v>
      </c>
      <c r="I131" s="346" t="s">
        <v>180</v>
      </c>
      <c r="J131" s="346" t="s">
        <v>181</v>
      </c>
      <c r="K131" s="346" t="s">
        <v>180</v>
      </c>
      <c r="L131" s="346" t="s">
        <v>181</v>
      </c>
      <c r="M131" s="346" t="s">
        <v>180</v>
      </c>
      <c r="N131" s="346" t="s">
        <v>181</v>
      </c>
      <c r="O131" s="502"/>
    </row>
    <row r="132" spans="1:19" s="327" customFormat="1" ht="13" customHeight="1" x14ac:dyDescent="0.3">
      <c r="A132" s="480" t="s">
        <v>86</v>
      </c>
      <c r="B132" s="44" t="s">
        <v>361</v>
      </c>
      <c r="C132" s="59">
        <v>100</v>
      </c>
      <c r="D132" s="59">
        <v>100</v>
      </c>
      <c r="E132" s="373">
        <v>17.54</v>
      </c>
      <c r="F132" s="373">
        <v>17.54</v>
      </c>
      <c r="G132" s="373">
        <v>12.05</v>
      </c>
      <c r="H132" s="373">
        <v>12.05</v>
      </c>
      <c r="I132" s="373">
        <v>17.149999999999999</v>
      </c>
      <c r="J132" s="373">
        <v>17.149999999999999</v>
      </c>
      <c r="K132" s="373">
        <v>247</v>
      </c>
      <c r="L132" s="373">
        <v>247</v>
      </c>
      <c r="M132" s="373">
        <v>0.24</v>
      </c>
      <c r="N132" s="373">
        <v>0.24</v>
      </c>
      <c r="O132" s="374">
        <v>237</v>
      </c>
      <c r="P132" s="326"/>
      <c r="Q132" s="326"/>
      <c r="R132" s="326"/>
      <c r="S132" s="326"/>
    </row>
    <row r="133" spans="1:19" s="327" customFormat="1" ht="13" customHeight="1" x14ac:dyDescent="0.3">
      <c r="A133" s="504"/>
      <c r="B133" s="97" t="s">
        <v>385</v>
      </c>
      <c r="C133" s="112">
        <v>30</v>
      </c>
      <c r="D133" s="112">
        <v>30</v>
      </c>
      <c r="E133" s="380">
        <f>0.93*30/1000</f>
        <v>2.7900000000000001E-2</v>
      </c>
      <c r="F133" s="380">
        <f>0.93*30/1000</f>
        <v>2.7900000000000001E-2</v>
      </c>
      <c r="G133" s="380">
        <f>0.9*30/1000</f>
        <v>2.7E-2</v>
      </c>
      <c r="H133" s="380">
        <f>0.9*30/1000</f>
        <v>2.7E-2</v>
      </c>
      <c r="I133" s="380">
        <f>170.26*30/1000</f>
        <v>5.1077999999999992</v>
      </c>
      <c r="J133" s="380">
        <f>170.26*30/1000</f>
        <v>5.1077999999999992</v>
      </c>
      <c r="K133" s="380">
        <f>693*30/1000</f>
        <v>20.79</v>
      </c>
      <c r="L133" s="380">
        <f>693*30/1000</f>
        <v>20.79</v>
      </c>
      <c r="M133" s="380">
        <f>9*30/1000</f>
        <v>0.27</v>
      </c>
      <c r="N133" s="380">
        <f>9*30/1000</f>
        <v>0.27</v>
      </c>
      <c r="O133" s="381">
        <v>362</v>
      </c>
      <c r="P133" s="326"/>
      <c r="Q133" s="326"/>
      <c r="R133" s="326"/>
      <c r="S133" s="326"/>
    </row>
    <row r="134" spans="1:19" s="327" customFormat="1" ht="13" customHeight="1" x14ac:dyDescent="0.3">
      <c r="A134" s="481"/>
      <c r="B134" s="22" t="s">
        <v>473</v>
      </c>
      <c r="C134" s="58">
        <v>24</v>
      </c>
      <c r="D134" s="64">
        <v>30</v>
      </c>
      <c r="E134" s="271">
        <f>7.5*24/100</f>
        <v>1.8</v>
      </c>
      <c r="F134" s="271">
        <f>7.5*30/100</f>
        <v>2.25</v>
      </c>
      <c r="G134" s="271">
        <f>2.9*24/1000</f>
        <v>6.9599999999999995E-2</v>
      </c>
      <c r="H134" s="271">
        <f>2.9*30/1000</f>
        <v>8.6999999999999994E-2</v>
      </c>
      <c r="I134" s="271">
        <f>51.4*24/100</f>
        <v>12.335999999999999</v>
      </c>
      <c r="J134" s="271">
        <f>51.4*30/100</f>
        <v>15.42</v>
      </c>
      <c r="K134" s="271">
        <f>262*24/100</f>
        <v>62.88</v>
      </c>
      <c r="L134" s="271">
        <f>262*30/100</f>
        <v>78.599999999999994</v>
      </c>
      <c r="M134" s="271">
        <f>0</f>
        <v>0</v>
      </c>
      <c r="N134" s="271">
        <v>0</v>
      </c>
      <c r="O134" s="322" t="s">
        <v>505</v>
      </c>
      <c r="P134" s="326"/>
      <c r="Q134" s="326"/>
      <c r="R134" s="326"/>
      <c r="S134" s="326"/>
    </row>
    <row r="135" spans="1:19" s="327" customFormat="1" ht="13" customHeight="1" x14ac:dyDescent="0.3">
      <c r="A135" s="482"/>
      <c r="B135" s="22" t="s">
        <v>87</v>
      </c>
      <c r="C135" s="24">
        <v>5</v>
      </c>
      <c r="D135" s="24">
        <v>10</v>
      </c>
      <c r="E135" s="271">
        <f>2.32*5/10</f>
        <v>1.1599999999999999</v>
      </c>
      <c r="F135" s="271">
        <v>2.3199999999999998</v>
      </c>
      <c r="G135" s="271">
        <f>2.95*5/10</f>
        <v>1.4750000000000001</v>
      </c>
      <c r="H135" s="271">
        <v>2.95</v>
      </c>
      <c r="I135" s="271">
        <v>0</v>
      </c>
      <c r="J135" s="271">
        <v>0</v>
      </c>
      <c r="K135" s="271">
        <f>36*5/10</f>
        <v>18</v>
      </c>
      <c r="L135" s="271">
        <v>36</v>
      </c>
      <c r="M135" s="271">
        <f>0.07*5/10</f>
        <v>3.5000000000000003E-2</v>
      </c>
      <c r="N135" s="271">
        <v>7.0000000000000007E-2</v>
      </c>
      <c r="O135" s="322">
        <v>7</v>
      </c>
      <c r="P135" s="326"/>
      <c r="Q135" s="326"/>
      <c r="R135" s="326"/>
      <c r="S135" s="326"/>
    </row>
    <row r="136" spans="1:19" s="327" customFormat="1" ht="13" customHeight="1" thickBot="1" x14ac:dyDescent="0.35">
      <c r="A136" s="508"/>
      <c r="B136" s="26" t="s">
        <v>369</v>
      </c>
      <c r="C136" s="31">
        <v>150</v>
      </c>
      <c r="D136" s="31">
        <v>180</v>
      </c>
      <c r="E136" s="360">
        <v>0.04</v>
      </c>
      <c r="F136" s="360">
        <v>0.06</v>
      </c>
      <c r="G136" s="360">
        <v>0.01</v>
      </c>
      <c r="H136" s="360">
        <v>0.02</v>
      </c>
      <c r="I136" s="360">
        <v>6.99</v>
      </c>
      <c r="J136" s="360">
        <v>9.99</v>
      </c>
      <c r="K136" s="360">
        <v>28</v>
      </c>
      <c r="L136" s="360">
        <v>40</v>
      </c>
      <c r="M136" s="360">
        <v>0.02</v>
      </c>
      <c r="N136" s="360">
        <v>0.03</v>
      </c>
      <c r="O136" s="361">
        <v>392</v>
      </c>
      <c r="P136" s="326"/>
      <c r="Q136" s="326"/>
      <c r="R136" s="326"/>
      <c r="S136" s="326"/>
    </row>
    <row r="137" spans="1:19" s="327" customFormat="1" ht="13" customHeight="1" thickBot="1" x14ac:dyDescent="0.35">
      <c r="A137" s="389" t="s">
        <v>88</v>
      </c>
      <c r="B137" s="180" t="s">
        <v>169</v>
      </c>
      <c r="C137" s="334">
        <v>100</v>
      </c>
      <c r="D137" s="382">
        <v>100</v>
      </c>
      <c r="E137" s="383">
        <v>0.4</v>
      </c>
      <c r="F137" s="383">
        <v>0.4</v>
      </c>
      <c r="G137" s="383">
        <v>0.4</v>
      </c>
      <c r="H137" s="383">
        <v>0.4</v>
      </c>
      <c r="I137" s="383">
        <v>9.8000000000000007</v>
      </c>
      <c r="J137" s="383">
        <v>9.8000000000000007</v>
      </c>
      <c r="K137" s="383">
        <v>44</v>
      </c>
      <c r="L137" s="383">
        <v>44</v>
      </c>
      <c r="M137" s="383">
        <v>10</v>
      </c>
      <c r="N137" s="383">
        <v>10</v>
      </c>
      <c r="O137" s="154">
        <v>368</v>
      </c>
      <c r="P137" s="326"/>
      <c r="Q137" s="326"/>
      <c r="R137" s="326"/>
      <c r="S137" s="326"/>
    </row>
    <row r="138" spans="1:19" s="327" customFormat="1" ht="13" customHeight="1" x14ac:dyDescent="0.3">
      <c r="A138" s="480" t="s">
        <v>90</v>
      </c>
      <c r="B138" s="44" t="s">
        <v>146</v>
      </c>
      <c r="C138" s="59">
        <v>45</v>
      </c>
      <c r="D138" s="59">
        <v>60</v>
      </c>
      <c r="E138" s="373">
        <f>7.6*45/1000</f>
        <v>0.34200000000000003</v>
      </c>
      <c r="F138" s="373">
        <f>7.6*60/1000</f>
        <v>0.45600000000000002</v>
      </c>
      <c r="G138" s="373">
        <f>60.89*45/1000</f>
        <v>2.7400500000000001</v>
      </c>
      <c r="H138" s="373">
        <f>60.89*60/1000</f>
        <v>3.6534</v>
      </c>
      <c r="I138" s="373">
        <f>23.75*45/1000</f>
        <v>1.0687500000000001</v>
      </c>
      <c r="J138" s="373">
        <f>23.75*60/1000</f>
        <v>1.425</v>
      </c>
      <c r="K138" s="373">
        <f>673*45/1000</f>
        <v>30.285</v>
      </c>
      <c r="L138" s="373">
        <f>673*60/1000</f>
        <v>40.380000000000003</v>
      </c>
      <c r="M138" s="373">
        <f>95*45/1000</f>
        <v>4.2750000000000004</v>
      </c>
      <c r="N138" s="373">
        <f>95*60/1000</f>
        <v>5.7</v>
      </c>
      <c r="O138" s="374">
        <v>13</v>
      </c>
      <c r="P138" s="326"/>
      <c r="Q138" s="326"/>
      <c r="R138" s="326"/>
      <c r="S138" s="326"/>
    </row>
    <row r="139" spans="1:19" s="327" customFormat="1" ht="13" customHeight="1" x14ac:dyDescent="0.3">
      <c r="A139" s="481"/>
      <c r="B139" s="22" t="s">
        <v>256</v>
      </c>
      <c r="C139" s="24" t="s">
        <v>245</v>
      </c>
      <c r="D139" s="24" t="s">
        <v>246</v>
      </c>
      <c r="E139" s="271">
        <f>14.18*200/1000+0.24</f>
        <v>3.0759999999999996</v>
      </c>
      <c r="F139" s="271">
        <f>14.18*250/1000+0.24</f>
        <v>3.7850000000000001</v>
      </c>
      <c r="G139" s="271">
        <f>20.4*200/1000+2.5+16</f>
        <v>22.58</v>
      </c>
      <c r="H139" s="271">
        <f>20.4*250/1000+2.5+16</f>
        <v>23.6</v>
      </c>
      <c r="I139" s="271">
        <f>58.12*200/1000+0.32</f>
        <v>11.944000000000001</v>
      </c>
      <c r="J139" s="271">
        <f>58.12*250/1000+0.32</f>
        <v>14.85</v>
      </c>
      <c r="K139" s="271">
        <f>473*200/1000+25</f>
        <v>119.6</v>
      </c>
      <c r="L139" s="271">
        <f>473*250/1000+25</f>
        <v>143.25</v>
      </c>
      <c r="M139" s="271">
        <f>25.15*200/1000+0.03</f>
        <v>5.0600000000000005</v>
      </c>
      <c r="N139" s="271">
        <f>25.15*250/1000+0.03</f>
        <v>6.3174999999999999</v>
      </c>
      <c r="O139" s="322">
        <v>63</v>
      </c>
      <c r="P139" s="326"/>
      <c r="Q139" s="326"/>
      <c r="R139" s="326"/>
      <c r="S139" s="326"/>
    </row>
    <row r="140" spans="1:19" s="327" customFormat="1" ht="13" customHeight="1" x14ac:dyDescent="0.3">
      <c r="A140" s="481"/>
      <c r="B140" s="22" t="s">
        <v>104</v>
      </c>
      <c r="C140" s="24">
        <v>120</v>
      </c>
      <c r="D140" s="24">
        <v>150</v>
      </c>
      <c r="E140" s="271">
        <f>20.43*120/1000</f>
        <v>2.4516</v>
      </c>
      <c r="F140" s="271">
        <f>20.43*150/1000</f>
        <v>3.0644999999999998</v>
      </c>
      <c r="G140" s="271">
        <f>32.01*120/1000</f>
        <v>3.8411999999999997</v>
      </c>
      <c r="H140" s="271">
        <f>32.01*150/1000</f>
        <v>4.8014999999999999</v>
      </c>
      <c r="I140" s="271">
        <f>136.26*120/1000</f>
        <v>16.351199999999999</v>
      </c>
      <c r="J140" s="271">
        <f>136.26*150/1000</f>
        <v>20.439</v>
      </c>
      <c r="K140" s="271">
        <f>915*120/1000</f>
        <v>109.8</v>
      </c>
      <c r="L140" s="271">
        <f>915*150/1000</f>
        <v>137.25</v>
      </c>
      <c r="M140" s="271">
        <f>121.07*120/1000</f>
        <v>14.5284</v>
      </c>
      <c r="N140" s="271">
        <f>121.07*150/1000</f>
        <v>18.160499999999999</v>
      </c>
      <c r="O140" s="322">
        <v>321</v>
      </c>
      <c r="P140" s="326"/>
      <c r="Q140" s="326"/>
      <c r="R140" s="326"/>
      <c r="S140" s="326"/>
    </row>
    <row r="141" spans="1:19" s="327" customFormat="1" ht="13" customHeight="1" x14ac:dyDescent="0.3">
      <c r="A141" s="481"/>
      <c r="B141" s="22" t="s">
        <v>234</v>
      </c>
      <c r="C141" s="24" t="s">
        <v>121</v>
      </c>
      <c r="D141" s="24" t="s">
        <v>123</v>
      </c>
      <c r="E141" s="271">
        <v>7.3</v>
      </c>
      <c r="F141" s="271">
        <v>9.57</v>
      </c>
      <c r="G141" s="271">
        <v>2.59</v>
      </c>
      <c r="H141" s="271">
        <v>3.72</v>
      </c>
      <c r="I141" s="271">
        <v>7.55</v>
      </c>
      <c r="J141" s="271">
        <v>9.68</v>
      </c>
      <c r="K141" s="271">
        <v>83</v>
      </c>
      <c r="L141" s="271">
        <v>111</v>
      </c>
      <c r="M141" s="271">
        <v>0.09</v>
      </c>
      <c r="N141" s="271">
        <v>0.12</v>
      </c>
      <c r="O141" s="322">
        <v>261</v>
      </c>
      <c r="P141" s="326"/>
      <c r="Q141" s="326"/>
      <c r="R141" s="326"/>
      <c r="S141" s="326"/>
    </row>
    <row r="142" spans="1:19" s="327" customFormat="1" ht="13" customHeight="1" x14ac:dyDescent="0.3">
      <c r="A142" s="481"/>
      <c r="B142" s="22" t="s">
        <v>370</v>
      </c>
      <c r="C142" s="24">
        <v>150</v>
      </c>
      <c r="D142" s="24">
        <v>180</v>
      </c>
      <c r="E142" s="271">
        <f>0.8*150/1000</f>
        <v>0.12</v>
      </c>
      <c r="F142" s="271">
        <f>0.8*180/1000</f>
        <v>0.14399999999999999</v>
      </c>
      <c r="G142" s="271">
        <f>0.8*150/1000</f>
        <v>0.12</v>
      </c>
      <c r="H142" s="271">
        <f>0.8*180/1000</f>
        <v>0.14399999999999999</v>
      </c>
      <c r="I142" s="271">
        <f>119.4*150/1000</f>
        <v>17.91</v>
      </c>
      <c r="J142" s="271">
        <f>119.4*180/1000</f>
        <v>21.492000000000001</v>
      </c>
      <c r="K142" s="271">
        <f>488*150/1000</f>
        <v>73.2</v>
      </c>
      <c r="L142" s="271">
        <f>488*180/1000</f>
        <v>87.84</v>
      </c>
      <c r="M142" s="271">
        <f>8.6*150/1000</f>
        <v>1.29</v>
      </c>
      <c r="N142" s="271">
        <f>8.6*180/1000</f>
        <v>1.548</v>
      </c>
      <c r="O142" s="322">
        <v>372</v>
      </c>
      <c r="P142" s="326"/>
      <c r="Q142" s="326"/>
      <c r="R142" s="326"/>
      <c r="S142" s="326"/>
    </row>
    <row r="143" spans="1:19" s="327" customFormat="1" ht="13" customHeight="1" x14ac:dyDescent="0.3">
      <c r="A143" s="481"/>
      <c r="B143" s="22" t="s">
        <v>177</v>
      </c>
      <c r="C143" s="58">
        <v>20</v>
      </c>
      <c r="D143" s="64">
        <v>25</v>
      </c>
      <c r="E143" s="271">
        <f>7.6*20/100</f>
        <v>1.52</v>
      </c>
      <c r="F143" s="271">
        <f>7.6*25/100</f>
        <v>1.9</v>
      </c>
      <c r="G143" s="271">
        <f>0.8*20/1000</f>
        <v>1.6E-2</v>
      </c>
      <c r="H143" s="271">
        <f>0.8*25/1000</f>
        <v>0.02</v>
      </c>
      <c r="I143" s="271">
        <f>49.2*20/100</f>
        <v>9.84</v>
      </c>
      <c r="J143" s="271">
        <f>49.2*25/100</f>
        <v>12.3</v>
      </c>
      <c r="K143" s="271">
        <f>235*20/100</f>
        <v>47</v>
      </c>
      <c r="L143" s="271">
        <f>235*25/100</f>
        <v>58.75</v>
      </c>
      <c r="M143" s="271">
        <v>0</v>
      </c>
      <c r="N143" s="271">
        <v>0</v>
      </c>
      <c r="O143" s="322" t="s">
        <v>451</v>
      </c>
      <c r="P143" s="326"/>
      <c r="Q143" s="326"/>
      <c r="R143" s="326"/>
      <c r="S143" s="326"/>
    </row>
    <row r="144" spans="1:19" s="327" customFormat="1" ht="13" customHeight="1" thickBot="1" x14ac:dyDescent="0.35">
      <c r="A144" s="508"/>
      <c r="B144" s="26" t="s">
        <v>184</v>
      </c>
      <c r="C144" s="31">
        <v>17</v>
      </c>
      <c r="D144" s="144">
        <v>21</v>
      </c>
      <c r="E144" s="360">
        <f>5.6*17/100</f>
        <v>0.95199999999999985</v>
      </c>
      <c r="F144" s="360">
        <f>5.6*21/100</f>
        <v>1.1759999999999999</v>
      </c>
      <c r="G144" s="360">
        <f>1.1*17/100</f>
        <v>0.18700000000000003</v>
      </c>
      <c r="H144" s="360">
        <f>1.1*21/100</f>
        <v>0.23100000000000001</v>
      </c>
      <c r="I144" s="360">
        <f>49.4*17/100</f>
        <v>8.3979999999999997</v>
      </c>
      <c r="J144" s="360">
        <f>49.4*17/100</f>
        <v>8.3979999999999997</v>
      </c>
      <c r="K144" s="360">
        <f>232*17/100</f>
        <v>39.44</v>
      </c>
      <c r="L144" s="360">
        <f>232*21/100</f>
        <v>48.72</v>
      </c>
      <c r="M144" s="360">
        <v>0</v>
      </c>
      <c r="N144" s="360">
        <v>0</v>
      </c>
      <c r="O144" s="361" t="s">
        <v>451</v>
      </c>
      <c r="P144" s="326"/>
      <c r="Q144" s="326"/>
      <c r="R144" s="326"/>
      <c r="S144" s="326"/>
    </row>
    <row r="145" spans="1:21" s="327" customFormat="1" ht="13" customHeight="1" x14ac:dyDescent="0.3">
      <c r="A145" s="504" t="s">
        <v>91</v>
      </c>
      <c r="B145" s="97" t="s">
        <v>379</v>
      </c>
      <c r="C145" s="112">
        <v>155</v>
      </c>
      <c r="D145" s="112">
        <v>185</v>
      </c>
      <c r="E145" s="380">
        <f>18.59</f>
        <v>18.59</v>
      </c>
      <c r="F145" s="380">
        <f>22.47</f>
        <v>22.47</v>
      </c>
      <c r="G145" s="380">
        <f>7.4</f>
        <v>7.4</v>
      </c>
      <c r="H145" s="380">
        <f>9.14</f>
        <v>9.14</v>
      </c>
      <c r="I145" s="380">
        <f>20.51</f>
        <v>20.51</v>
      </c>
      <c r="J145" s="380">
        <f>24.73</f>
        <v>24.73</v>
      </c>
      <c r="K145" s="380">
        <f>223</f>
        <v>223</v>
      </c>
      <c r="L145" s="380">
        <f>271</f>
        <v>271</v>
      </c>
      <c r="M145" s="380">
        <f>8.71</f>
        <v>8.7100000000000009</v>
      </c>
      <c r="N145" s="380">
        <f>10.45</f>
        <v>10.45</v>
      </c>
      <c r="O145" s="381">
        <v>294</v>
      </c>
      <c r="P145" s="326"/>
      <c r="Q145" s="326"/>
      <c r="R145" s="326"/>
      <c r="S145" s="326"/>
    </row>
    <row r="146" spans="1:21" s="327" customFormat="1" ht="13" customHeight="1" x14ac:dyDescent="0.3">
      <c r="A146" s="481"/>
      <c r="B146" s="22" t="s">
        <v>378</v>
      </c>
      <c r="C146" s="24">
        <v>45</v>
      </c>
      <c r="D146" s="24">
        <v>60</v>
      </c>
      <c r="E146" s="271">
        <f>13.03*45/1000</f>
        <v>0.58635000000000004</v>
      </c>
      <c r="F146" s="271">
        <f>13.03*60/1000</f>
        <v>0.78179999999999994</v>
      </c>
      <c r="G146" s="271">
        <f>41.33*45/1000</f>
        <v>1.85985</v>
      </c>
      <c r="H146" s="271">
        <f>41.33*60/1000</f>
        <v>2.4797999999999996</v>
      </c>
      <c r="I146" s="271">
        <f>71.57*45/1000</f>
        <v>3.2206499999999996</v>
      </c>
      <c r="J146" s="271">
        <f>71.57*60/1000</f>
        <v>4.2942</v>
      </c>
      <c r="K146" s="271">
        <f>710*45/1000</f>
        <v>31.95</v>
      </c>
      <c r="L146" s="271">
        <f>710*60/1000</f>
        <v>42.6</v>
      </c>
      <c r="M146" s="271">
        <f>43.68*45/1000</f>
        <v>1.9656</v>
      </c>
      <c r="N146" s="271">
        <f>43.68*60/1000</f>
        <v>2.6208</v>
      </c>
      <c r="O146" s="322">
        <v>55</v>
      </c>
      <c r="P146" s="326"/>
      <c r="Q146" s="326"/>
      <c r="R146" s="326"/>
      <c r="S146" s="326"/>
    </row>
    <row r="147" spans="1:21" s="327" customFormat="1" ht="13" customHeight="1" x14ac:dyDescent="0.3">
      <c r="A147" s="481"/>
      <c r="B147" s="22" t="s">
        <v>184</v>
      </c>
      <c r="C147" s="24">
        <v>17</v>
      </c>
      <c r="D147" s="25">
        <v>21</v>
      </c>
      <c r="E147" s="375">
        <f>5.6*17/100</f>
        <v>0.95199999999999985</v>
      </c>
      <c r="F147" s="375">
        <f>5.6*21/100</f>
        <v>1.1759999999999999</v>
      </c>
      <c r="G147" s="375">
        <f>1.1*17/100</f>
        <v>0.18700000000000003</v>
      </c>
      <c r="H147" s="375">
        <f>1.1*21/100</f>
        <v>0.23100000000000001</v>
      </c>
      <c r="I147" s="375">
        <f>49.4*17/100</f>
        <v>8.3979999999999997</v>
      </c>
      <c r="J147" s="375">
        <f>49.4*17/100</f>
        <v>8.3979999999999997</v>
      </c>
      <c r="K147" s="375">
        <f>232*17/100</f>
        <v>39.44</v>
      </c>
      <c r="L147" s="375">
        <f>232*21/100</f>
        <v>48.72</v>
      </c>
      <c r="M147" s="375">
        <v>0</v>
      </c>
      <c r="N147" s="375">
        <v>0</v>
      </c>
      <c r="O147" s="322" t="s">
        <v>451</v>
      </c>
      <c r="P147" s="326"/>
      <c r="Q147" s="326"/>
      <c r="R147" s="326"/>
      <c r="S147" s="326"/>
    </row>
    <row r="148" spans="1:21" s="327" customFormat="1" ht="13" customHeight="1" x14ac:dyDescent="0.3">
      <c r="A148" s="481"/>
      <c r="B148" s="22" t="s">
        <v>462</v>
      </c>
      <c r="C148" s="24">
        <v>20</v>
      </c>
      <c r="D148" s="24">
        <v>20</v>
      </c>
      <c r="E148" s="271">
        <v>2.91</v>
      </c>
      <c r="F148" s="271">
        <v>2.91</v>
      </c>
      <c r="G148" s="271">
        <v>10.69</v>
      </c>
      <c r="H148" s="271">
        <v>10.69</v>
      </c>
      <c r="I148" s="271">
        <v>14.73</v>
      </c>
      <c r="J148" s="271">
        <v>14.73</v>
      </c>
      <c r="K148" s="271">
        <v>223</v>
      </c>
      <c r="L148" s="271">
        <v>223</v>
      </c>
      <c r="M148" s="271">
        <v>0.03</v>
      </c>
      <c r="N148" s="271">
        <v>0.03</v>
      </c>
      <c r="O148" s="322">
        <v>491</v>
      </c>
      <c r="P148" s="326"/>
      <c r="Q148" s="326"/>
      <c r="R148" s="326"/>
      <c r="S148" s="326"/>
    </row>
    <row r="149" spans="1:21" s="327" customFormat="1" ht="13" customHeight="1" thickBot="1" x14ac:dyDescent="0.35">
      <c r="A149" s="508"/>
      <c r="B149" s="26" t="s">
        <v>380</v>
      </c>
      <c r="C149" s="31">
        <v>150</v>
      </c>
      <c r="D149" s="31">
        <v>180</v>
      </c>
      <c r="E149" s="360">
        <v>4.3499999999999996</v>
      </c>
      <c r="F149" s="360">
        <v>5.22</v>
      </c>
      <c r="G149" s="360">
        <v>3.75</v>
      </c>
      <c r="H149" s="360">
        <v>4.5</v>
      </c>
      <c r="I149" s="360">
        <v>6</v>
      </c>
      <c r="J149" s="360">
        <v>7.2</v>
      </c>
      <c r="K149" s="360">
        <v>75</v>
      </c>
      <c r="L149" s="360">
        <v>90</v>
      </c>
      <c r="M149" s="360">
        <v>1.05</v>
      </c>
      <c r="N149" s="360">
        <v>1.26</v>
      </c>
      <c r="O149" s="361">
        <v>401</v>
      </c>
      <c r="P149" s="326"/>
      <c r="Q149" s="326"/>
      <c r="R149" s="326"/>
      <c r="S149" s="326"/>
    </row>
    <row r="150" spans="1:21" s="327" customFormat="1" ht="13" customHeight="1" thickBot="1" x14ac:dyDescent="0.35">
      <c r="A150" s="394" t="s">
        <v>95</v>
      </c>
      <c r="B150" s="210"/>
      <c r="C150" s="343"/>
      <c r="D150" s="343"/>
      <c r="E150" s="358">
        <f t="shared" ref="E150:N150" si="6">SUM(E132:E149)</f>
        <v>64.11784999999999</v>
      </c>
      <c r="F150" s="358">
        <f t="shared" si="6"/>
        <v>75.251199999999997</v>
      </c>
      <c r="G150" s="358">
        <f t="shared" si="6"/>
        <v>69.992699999999985</v>
      </c>
      <c r="H150" s="358">
        <f t="shared" si="6"/>
        <v>78.744700000000009</v>
      </c>
      <c r="I150" s="358">
        <f t="shared" si="6"/>
        <v>177.30439999999999</v>
      </c>
      <c r="J150" s="358">
        <f t="shared" si="6"/>
        <v>205.40399999999994</v>
      </c>
      <c r="K150" s="358">
        <f t="shared" si="6"/>
        <v>1515.3850000000002</v>
      </c>
      <c r="L150" s="358">
        <f t="shared" si="6"/>
        <v>1768.9</v>
      </c>
      <c r="M150" s="358">
        <f t="shared" si="6"/>
        <v>47.564</v>
      </c>
      <c r="N150" s="358">
        <f t="shared" si="6"/>
        <v>56.816799999999994</v>
      </c>
      <c r="O150" s="359"/>
      <c r="P150" s="326"/>
      <c r="Q150" s="326"/>
      <c r="R150" s="326"/>
      <c r="S150" s="326"/>
    </row>
    <row r="151" spans="1:21" ht="17.25" customHeight="1" thickBot="1" x14ac:dyDescent="0.4">
      <c r="A151" s="483" t="s">
        <v>321</v>
      </c>
      <c r="B151" s="484"/>
      <c r="C151" s="514"/>
      <c r="D151" s="484"/>
      <c r="E151" s="484"/>
      <c r="F151" s="484"/>
      <c r="G151" s="484"/>
      <c r="H151" s="484"/>
      <c r="I151" s="484"/>
      <c r="J151" s="484"/>
      <c r="K151" s="484"/>
      <c r="L151" s="484"/>
      <c r="M151" s="484"/>
      <c r="N151" s="484"/>
      <c r="O151" s="485"/>
      <c r="P151" s="192"/>
      <c r="Q151" s="192"/>
      <c r="R151" s="192"/>
      <c r="S151" s="192"/>
      <c r="T151" s="193"/>
      <c r="U151" s="193"/>
    </row>
    <row r="152" spans="1:21" ht="13" customHeight="1" thickBot="1" x14ac:dyDescent="0.35">
      <c r="A152" s="525" t="s">
        <v>183</v>
      </c>
      <c r="B152" s="102" t="s">
        <v>79</v>
      </c>
      <c r="C152" s="496" t="s">
        <v>81</v>
      </c>
      <c r="D152" s="497"/>
      <c r="E152" s="498" t="s">
        <v>111</v>
      </c>
      <c r="F152" s="499"/>
      <c r="G152" s="499"/>
      <c r="H152" s="499"/>
      <c r="I152" s="499"/>
      <c r="J152" s="500"/>
      <c r="K152" s="488" t="s">
        <v>182</v>
      </c>
      <c r="L152" s="489"/>
      <c r="M152" s="488" t="s">
        <v>85</v>
      </c>
      <c r="N152" s="489"/>
      <c r="O152" s="501" t="s">
        <v>247</v>
      </c>
    </row>
    <row r="153" spans="1:21" ht="13" customHeight="1" thickBot="1" x14ac:dyDescent="0.35">
      <c r="A153" s="526"/>
      <c r="B153" s="330" t="s">
        <v>80</v>
      </c>
      <c r="C153" s="492" t="s">
        <v>80</v>
      </c>
      <c r="D153" s="493"/>
      <c r="E153" s="486" t="s">
        <v>82</v>
      </c>
      <c r="F153" s="487"/>
      <c r="G153" s="486" t="s">
        <v>83</v>
      </c>
      <c r="H153" s="487"/>
      <c r="I153" s="486" t="s">
        <v>84</v>
      </c>
      <c r="J153" s="487"/>
      <c r="K153" s="490"/>
      <c r="L153" s="491"/>
      <c r="M153" s="490"/>
      <c r="N153" s="491"/>
      <c r="O153" s="502"/>
    </row>
    <row r="154" spans="1:21" ht="13" customHeight="1" thickBot="1" x14ac:dyDescent="0.35">
      <c r="A154" s="526"/>
      <c r="B154" s="184"/>
      <c r="C154" s="331" t="s">
        <v>180</v>
      </c>
      <c r="D154" s="328" t="s">
        <v>181</v>
      </c>
      <c r="E154" s="346" t="s">
        <v>180</v>
      </c>
      <c r="F154" s="349" t="s">
        <v>181</v>
      </c>
      <c r="G154" s="346" t="s">
        <v>180</v>
      </c>
      <c r="H154" s="346" t="s">
        <v>181</v>
      </c>
      <c r="I154" s="346" t="s">
        <v>180</v>
      </c>
      <c r="J154" s="346" t="s">
        <v>181</v>
      </c>
      <c r="K154" s="346" t="s">
        <v>180</v>
      </c>
      <c r="L154" s="346" t="s">
        <v>181</v>
      </c>
      <c r="M154" s="346" t="s">
        <v>180</v>
      </c>
      <c r="N154" s="346" t="s">
        <v>181</v>
      </c>
      <c r="O154" s="502"/>
    </row>
    <row r="155" spans="1:21" s="327" customFormat="1" ht="13" customHeight="1" x14ac:dyDescent="0.3">
      <c r="A155" s="509" t="s">
        <v>86</v>
      </c>
      <c r="B155" s="95" t="s">
        <v>132</v>
      </c>
      <c r="C155" s="59" t="s">
        <v>436</v>
      </c>
      <c r="D155" s="59" t="s">
        <v>436</v>
      </c>
      <c r="E155" s="373">
        <f>5.73*150/60</f>
        <v>14.325000000000001</v>
      </c>
      <c r="F155" s="373">
        <f>5.73*150/60</f>
        <v>14.325000000000001</v>
      </c>
      <c r="G155" s="373">
        <f>11.04*150/60</f>
        <v>27.599999999999998</v>
      </c>
      <c r="H155" s="373">
        <f>11.04*150/60</f>
        <v>27.599999999999998</v>
      </c>
      <c r="I155" s="373">
        <f>1.1*150/60</f>
        <v>2.75</v>
      </c>
      <c r="J155" s="373">
        <f>1.1*150/60</f>
        <v>2.75</v>
      </c>
      <c r="K155" s="373">
        <f>127*150/60</f>
        <v>317.5</v>
      </c>
      <c r="L155" s="373">
        <f>127*150/60</f>
        <v>317.5</v>
      </c>
      <c r="M155" s="373">
        <f>0.1*150/60</f>
        <v>0.25</v>
      </c>
      <c r="N155" s="373">
        <f>0.1*150/60</f>
        <v>0.25</v>
      </c>
      <c r="O155" s="374">
        <v>215</v>
      </c>
      <c r="P155" s="326"/>
      <c r="Q155" s="326"/>
      <c r="R155" s="326"/>
      <c r="S155" s="326"/>
    </row>
    <row r="156" spans="1:21" ht="12" customHeight="1" x14ac:dyDescent="0.3">
      <c r="A156" s="510"/>
      <c r="B156" s="22" t="s">
        <v>473</v>
      </c>
      <c r="C156" s="58">
        <v>24</v>
      </c>
      <c r="D156" s="64">
        <v>30</v>
      </c>
      <c r="E156" s="271">
        <f>7.5*24/100</f>
        <v>1.8</v>
      </c>
      <c r="F156" s="271">
        <f>7.5*30/100</f>
        <v>2.25</v>
      </c>
      <c r="G156" s="271">
        <f>2.9*24/1000</f>
        <v>6.9599999999999995E-2</v>
      </c>
      <c r="H156" s="271">
        <f>2.9*30/1000</f>
        <v>8.6999999999999994E-2</v>
      </c>
      <c r="I156" s="271">
        <f>51.4*24/100</f>
        <v>12.335999999999999</v>
      </c>
      <c r="J156" s="271">
        <f>51.4*30/100</f>
        <v>15.42</v>
      </c>
      <c r="K156" s="271">
        <f>262*24/100</f>
        <v>62.88</v>
      </c>
      <c r="L156" s="271">
        <f>262*30/100</f>
        <v>78.599999999999994</v>
      </c>
      <c r="M156" s="271">
        <f>0</f>
        <v>0</v>
      </c>
      <c r="N156" s="271">
        <v>0</v>
      </c>
      <c r="O156" s="322" t="s">
        <v>505</v>
      </c>
      <c r="P156" s="20"/>
      <c r="Q156" s="20"/>
      <c r="R156" s="20"/>
      <c r="S156" s="20"/>
      <c r="T156" s="191"/>
      <c r="U156" s="191"/>
    </row>
    <row r="157" spans="1:21" s="327" customFormat="1" ht="13" customHeight="1" x14ac:dyDescent="0.3">
      <c r="A157" s="510"/>
      <c r="B157" s="22" t="s">
        <v>87</v>
      </c>
      <c r="C157" s="24">
        <v>5</v>
      </c>
      <c r="D157" s="24">
        <v>10</v>
      </c>
      <c r="E157" s="271">
        <f>2.32*5/10</f>
        <v>1.1599999999999999</v>
      </c>
      <c r="F157" s="271">
        <v>2.3199999999999998</v>
      </c>
      <c r="G157" s="271">
        <f>2.95*5/10</f>
        <v>1.4750000000000001</v>
      </c>
      <c r="H157" s="271">
        <v>2.95</v>
      </c>
      <c r="I157" s="271">
        <v>0</v>
      </c>
      <c r="J157" s="271">
        <v>0</v>
      </c>
      <c r="K157" s="271">
        <f>36*5/10</f>
        <v>18</v>
      </c>
      <c r="L157" s="271">
        <v>36</v>
      </c>
      <c r="M157" s="271">
        <f>0.07*5/10</f>
        <v>3.5000000000000003E-2</v>
      </c>
      <c r="N157" s="271">
        <v>7.0000000000000007E-2</v>
      </c>
      <c r="O157" s="322">
        <v>7</v>
      </c>
      <c r="P157" s="326"/>
      <c r="Q157" s="326"/>
      <c r="R157" s="326"/>
      <c r="S157" s="326"/>
    </row>
    <row r="158" spans="1:21" s="327" customFormat="1" ht="13" customHeight="1" thickBot="1" x14ac:dyDescent="0.35">
      <c r="A158" s="511"/>
      <c r="B158" s="96" t="s">
        <v>217</v>
      </c>
      <c r="C158" s="31">
        <v>150</v>
      </c>
      <c r="D158" s="31">
        <v>180</v>
      </c>
      <c r="E158" s="360">
        <v>2.15</v>
      </c>
      <c r="F158" s="360">
        <v>2.65</v>
      </c>
      <c r="G158" s="360">
        <v>1.46</v>
      </c>
      <c r="H158" s="360">
        <v>1.79</v>
      </c>
      <c r="I158" s="360">
        <v>15.5</v>
      </c>
      <c r="J158" s="360">
        <v>18.829999999999998</v>
      </c>
      <c r="K158" s="360">
        <v>84</v>
      </c>
      <c r="L158" s="360">
        <v>102</v>
      </c>
      <c r="M158" s="360">
        <v>0.28000000000000003</v>
      </c>
      <c r="N158" s="360">
        <v>0.34</v>
      </c>
      <c r="O158" s="361">
        <v>396</v>
      </c>
      <c r="P158" s="326"/>
      <c r="Q158" s="326"/>
      <c r="R158" s="326"/>
      <c r="S158" s="326"/>
    </row>
    <row r="159" spans="1:21" s="327" customFormat="1" ht="13" customHeight="1" thickBot="1" x14ac:dyDescent="0.35">
      <c r="A159" s="395" t="s">
        <v>88</v>
      </c>
      <c r="B159" s="71" t="s">
        <v>89</v>
      </c>
      <c r="C159" s="106">
        <v>200</v>
      </c>
      <c r="D159" s="106">
        <v>200</v>
      </c>
      <c r="E159" s="377">
        <f>0.45*200/150</f>
        <v>0.6</v>
      </c>
      <c r="F159" s="377">
        <f>0.45*200/150</f>
        <v>0.6</v>
      </c>
      <c r="G159" s="377">
        <f>0.15*200/150</f>
        <v>0.2</v>
      </c>
      <c r="H159" s="377">
        <f>0.15*200/150</f>
        <v>0.2</v>
      </c>
      <c r="I159" s="377">
        <f>22.8*200/150</f>
        <v>30.4</v>
      </c>
      <c r="J159" s="377">
        <f>22.8*200/150</f>
        <v>30.4</v>
      </c>
      <c r="K159" s="377">
        <f>94*200/150</f>
        <v>125.33333333333333</v>
      </c>
      <c r="L159" s="377">
        <f>94*200/150</f>
        <v>125.33333333333333</v>
      </c>
      <c r="M159" s="377">
        <f>6*200/150</f>
        <v>8</v>
      </c>
      <c r="N159" s="377">
        <f>6*200/150</f>
        <v>8</v>
      </c>
      <c r="O159" s="378">
        <v>399</v>
      </c>
      <c r="P159" s="326"/>
      <c r="Q159" s="326"/>
      <c r="R159" s="326"/>
      <c r="S159" s="326"/>
    </row>
    <row r="160" spans="1:21" s="327" customFormat="1" ht="13" customHeight="1" x14ac:dyDescent="0.3">
      <c r="A160" s="480" t="s">
        <v>90</v>
      </c>
      <c r="B160" s="44" t="s">
        <v>135</v>
      </c>
      <c r="C160" s="59">
        <v>45</v>
      </c>
      <c r="D160" s="59">
        <v>0</v>
      </c>
      <c r="E160" s="373">
        <f>1.1*45/100</f>
        <v>0.49500000000000005</v>
      </c>
      <c r="F160" s="373">
        <v>0</v>
      </c>
      <c r="G160" s="373">
        <f>0.2*45/100</f>
        <v>0.09</v>
      </c>
      <c r="H160" s="373">
        <v>0</v>
      </c>
      <c r="I160" s="373">
        <f>3.8*45/100</f>
        <v>1.71</v>
      </c>
      <c r="J160" s="373">
        <v>0</v>
      </c>
      <c r="K160" s="373">
        <f>24*45/100</f>
        <v>10.8</v>
      </c>
      <c r="L160" s="373">
        <v>0</v>
      </c>
      <c r="M160" s="373">
        <f>10*45/100</f>
        <v>4.5</v>
      </c>
      <c r="N160" s="373">
        <v>0</v>
      </c>
      <c r="O160" s="374" t="s">
        <v>294</v>
      </c>
      <c r="P160" s="326"/>
      <c r="Q160" s="326"/>
      <c r="R160" s="326"/>
      <c r="S160" s="326"/>
    </row>
    <row r="161" spans="1:21" s="327" customFormat="1" ht="13" customHeight="1" x14ac:dyDescent="0.3">
      <c r="A161" s="504"/>
      <c r="B161" s="22" t="s">
        <v>490</v>
      </c>
      <c r="C161" s="112">
        <v>0</v>
      </c>
      <c r="D161" s="112">
        <v>60</v>
      </c>
      <c r="E161" s="380">
        <v>0</v>
      </c>
      <c r="F161" s="380">
        <f>28.83*60/1000</f>
        <v>1.7298</v>
      </c>
      <c r="G161" s="380">
        <v>0</v>
      </c>
      <c r="H161" s="380">
        <f>61.8*60/1000</f>
        <v>3.7080000000000002</v>
      </c>
      <c r="I161" s="380">
        <v>0</v>
      </c>
      <c r="J161" s="380">
        <f>80.41*60/1000</f>
        <v>4.8245999999999993</v>
      </c>
      <c r="K161" s="380">
        <v>0</v>
      </c>
      <c r="L161" s="380">
        <f>993*60/1000</f>
        <v>59.58</v>
      </c>
      <c r="M161" s="380">
        <v>0</v>
      </c>
      <c r="N161" s="380">
        <f>93*60/1000</f>
        <v>5.58</v>
      </c>
      <c r="O161" s="381">
        <v>12</v>
      </c>
      <c r="P161" s="326"/>
      <c r="Q161" s="326"/>
      <c r="R161" s="326"/>
      <c r="S161" s="326"/>
    </row>
    <row r="162" spans="1:21" s="327" customFormat="1" ht="13" customHeight="1" x14ac:dyDescent="0.3">
      <c r="A162" s="481"/>
      <c r="B162" s="22" t="s">
        <v>264</v>
      </c>
      <c r="C162" s="24">
        <v>200</v>
      </c>
      <c r="D162" s="24">
        <v>250</v>
      </c>
      <c r="E162" s="271">
        <f>8.41*200/1000+0.24</f>
        <v>1.9219999999999999</v>
      </c>
      <c r="F162" s="271">
        <f>8.41*250/1000+0.24</f>
        <v>2.3425000000000002</v>
      </c>
      <c r="G162" s="271">
        <f>20.46*200/1000</f>
        <v>4.0919999999999996</v>
      </c>
      <c r="H162" s="271">
        <f>20.446*250/1000+2.5</f>
        <v>7.6115000000000004</v>
      </c>
      <c r="I162" s="271">
        <f>66.36*200/1000+0.32</f>
        <v>13.592000000000001</v>
      </c>
      <c r="J162" s="271">
        <f>66.36*250/1000+0.32</f>
        <v>16.91</v>
      </c>
      <c r="K162" s="271">
        <f>483*200/1000</f>
        <v>96.6</v>
      </c>
      <c r="L162" s="271">
        <f>483*250/1000</f>
        <v>120.75</v>
      </c>
      <c r="M162" s="271">
        <f>30.15*200/1000+0.03</f>
        <v>6.0600000000000005</v>
      </c>
      <c r="N162" s="271">
        <f>30.15*250/1000+0.03</f>
        <v>7.5674999999999999</v>
      </c>
      <c r="O162" s="322">
        <v>76</v>
      </c>
      <c r="P162" s="326"/>
      <c r="Q162" s="326"/>
      <c r="R162" s="326"/>
      <c r="S162" s="326"/>
    </row>
    <row r="163" spans="1:21" s="327" customFormat="1" ht="13" customHeight="1" x14ac:dyDescent="0.3">
      <c r="A163" s="481"/>
      <c r="B163" s="22" t="s">
        <v>265</v>
      </c>
      <c r="C163" s="24">
        <v>170</v>
      </c>
      <c r="D163" s="24">
        <v>220</v>
      </c>
      <c r="E163" s="271">
        <f>16.2</f>
        <v>16.2</v>
      </c>
      <c r="F163" s="271">
        <v>21.71</v>
      </c>
      <c r="G163" s="271">
        <v>13.28</v>
      </c>
      <c r="H163" s="271">
        <v>16.55</v>
      </c>
      <c r="I163" s="271">
        <v>11.03</v>
      </c>
      <c r="J163" s="271">
        <v>15.02</v>
      </c>
      <c r="K163" s="271">
        <v>228</v>
      </c>
      <c r="L163" s="271">
        <v>296</v>
      </c>
      <c r="M163" s="271">
        <v>3.71</v>
      </c>
      <c r="N163" s="271">
        <v>5.2</v>
      </c>
      <c r="O163" s="322">
        <v>274</v>
      </c>
      <c r="P163" s="326"/>
      <c r="Q163" s="326"/>
      <c r="R163" s="326"/>
      <c r="S163" s="326"/>
    </row>
    <row r="164" spans="1:21" s="327" customFormat="1" ht="13" customHeight="1" x14ac:dyDescent="0.3">
      <c r="A164" s="481"/>
      <c r="B164" s="22" t="s">
        <v>281</v>
      </c>
      <c r="C164" s="24">
        <v>180</v>
      </c>
      <c r="D164" s="24">
        <v>200</v>
      </c>
      <c r="E164" s="271">
        <f>0.72*150/1000</f>
        <v>0.108</v>
      </c>
      <c r="F164" s="271">
        <f>0.72*180/1000</f>
        <v>0.12959999999999999</v>
      </c>
      <c r="G164" s="271">
        <f>0.2*150/1000</f>
        <v>0.03</v>
      </c>
      <c r="H164" s="271">
        <f>0.2*180/1000</f>
        <v>3.5999999999999997E-2</v>
      </c>
      <c r="I164" s="271">
        <f>137.38*150/1000</f>
        <v>20.606999999999999</v>
      </c>
      <c r="J164" s="271">
        <f>137.38*180/1000</f>
        <v>24.728399999999997</v>
      </c>
      <c r="K164" s="271">
        <f>554*150/1000</f>
        <v>83.1</v>
      </c>
      <c r="L164" s="271">
        <f>554*180/1000</f>
        <v>99.72</v>
      </c>
      <c r="M164" s="271">
        <f>9.15*150/1000</f>
        <v>1.3725000000000001</v>
      </c>
      <c r="N164" s="271">
        <f>9.15*180/1000</f>
        <v>1.647</v>
      </c>
      <c r="O164" s="322">
        <v>378</v>
      </c>
      <c r="P164" s="326"/>
      <c r="Q164" s="326"/>
      <c r="R164" s="326"/>
      <c r="S164" s="326"/>
    </row>
    <row r="165" spans="1:21" s="327" customFormat="1" ht="13" customHeight="1" x14ac:dyDescent="0.3">
      <c r="A165" s="481"/>
      <c r="B165" s="22" t="s">
        <v>177</v>
      </c>
      <c r="C165" s="58">
        <v>20</v>
      </c>
      <c r="D165" s="64">
        <v>25</v>
      </c>
      <c r="E165" s="271">
        <f>7.6*20/100</f>
        <v>1.52</v>
      </c>
      <c r="F165" s="271">
        <f>7.6*25/100</f>
        <v>1.9</v>
      </c>
      <c r="G165" s="271">
        <f>0.8*20/1000</f>
        <v>1.6E-2</v>
      </c>
      <c r="H165" s="271">
        <f>0.8*25/1000</f>
        <v>0.02</v>
      </c>
      <c r="I165" s="271">
        <f>49.2*20/100</f>
        <v>9.84</v>
      </c>
      <c r="J165" s="271">
        <f>49.2*25/100</f>
        <v>12.3</v>
      </c>
      <c r="K165" s="271">
        <f>235*20/100</f>
        <v>47</v>
      </c>
      <c r="L165" s="271">
        <f>235*25/100</f>
        <v>58.75</v>
      </c>
      <c r="M165" s="271">
        <v>0</v>
      </c>
      <c r="N165" s="271">
        <v>0</v>
      </c>
      <c r="O165" s="322" t="s">
        <v>451</v>
      </c>
      <c r="P165" s="326"/>
      <c r="Q165" s="326"/>
      <c r="R165" s="326"/>
      <c r="S165" s="326"/>
    </row>
    <row r="166" spans="1:21" s="327" customFormat="1" ht="13" customHeight="1" thickBot="1" x14ac:dyDescent="0.35">
      <c r="A166" s="482"/>
      <c r="B166" s="26" t="s">
        <v>184</v>
      </c>
      <c r="C166" s="31">
        <v>17</v>
      </c>
      <c r="D166" s="144">
        <v>21</v>
      </c>
      <c r="E166" s="360">
        <f>5.6*17/100</f>
        <v>0.95199999999999985</v>
      </c>
      <c r="F166" s="360">
        <f>5.6*21/100</f>
        <v>1.1759999999999999</v>
      </c>
      <c r="G166" s="360">
        <f>1.1*17/100</f>
        <v>0.18700000000000003</v>
      </c>
      <c r="H166" s="360">
        <f>1.1*21/100</f>
        <v>0.23100000000000001</v>
      </c>
      <c r="I166" s="360">
        <f>49.4*17/100</f>
        <v>8.3979999999999997</v>
      </c>
      <c r="J166" s="360">
        <f>49.4*17/100</f>
        <v>8.3979999999999997</v>
      </c>
      <c r="K166" s="360">
        <f>232*17/100</f>
        <v>39.44</v>
      </c>
      <c r="L166" s="360">
        <f>232*21/100</f>
        <v>48.72</v>
      </c>
      <c r="M166" s="360">
        <v>0</v>
      </c>
      <c r="N166" s="360">
        <v>0</v>
      </c>
      <c r="O166" s="361" t="s">
        <v>451</v>
      </c>
      <c r="P166" s="326"/>
      <c r="Q166" s="326"/>
      <c r="R166" s="326"/>
      <c r="S166" s="326"/>
    </row>
    <row r="167" spans="1:21" s="327" customFormat="1" ht="13" customHeight="1" x14ac:dyDescent="0.3">
      <c r="A167" s="505" t="s">
        <v>91</v>
      </c>
      <c r="B167" s="44" t="s">
        <v>122</v>
      </c>
      <c r="C167" s="59">
        <v>60</v>
      </c>
      <c r="D167" s="59">
        <v>80</v>
      </c>
      <c r="E167" s="373">
        <f>10.61/2</f>
        <v>5.3049999999999997</v>
      </c>
      <c r="F167" s="373">
        <f>14.12/2</f>
        <v>7.06</v>
      </c>
      <c r="G167" s="373">
        <f>6.81/2</f>
        <v>3.4049999999999998</v>
      </c>
      <c r="H167" s="373">
        <f>9.04/2</f>
        <v>4.5199999999999996</v>
      </c>
      <c r="I167" s="373">
        <f>15.04/2</f>
        <v>7.52</v>
      </c>
      <c r="J167" s="373">
        <f>20.26/2</f>
        <v>10.130000000000001</v>
      </c>
      <c r="K167" s="373">
        <f>164/2</f>
        <v>82</v>
      </c>
      <c r="L167" s="373">
        <f>219/2</f>
        <v>109.5</v>
      </c>
      <c r="M167" s="373">
        <f>15.03/2</f>
        <v>7.5149999999999997</v>
      </c>
      <c r="N167" s="373">
        <f>20.03/2</f>
        <v>10.015000000000001</v>
      </c>
      <c r="O167" s="374">
        <v>298</v>
      </c>
      <c r="P167" s="326"/>
      <c r="Q167" s="326"/>
      <c r="R167" s="326"/>
      <c r="S167" s="326"/>
    </row>
    <row r="168" spans="1:21" s="327" customFormat="1" ht="13" customHeight="1" x14ac:dyDescent="0.3">
      <c r="A168" s="506"/>
      <c r="B168" s="22" t="s">
        <v>308</v>
      </c>
      <c r="C168" s="24">
        <v>20</v>
      </c>
      <c r="D168" s="24">
        <v>40</v>
      </c>
      <c r="E168" s="271">
        <f>5.9*20/100</f>
        <v>1.18</v>
      </c>
      <c r="F168" s="271">
        <f>5.9*40/100</f>
        <v>2.36</v>
      </c>
      <c r="G168" s="271">
        <f>4.7*20/100</f>
        <v>0.94</v>
      </c>
      <c r="H168" s="271">
        <f>4.7*40/100</f>
        <v>1.88</v>
      </c>
      <c r="I168" s="271">
        <f>75*20/100</f>
        <v>15</v>
      </c>
      <c r="J168" s="271">
        <f>75*40/100</f>
        <v>30</v>
      </c>
      <c r="K168" s="271">
        <f>366*20/100</f>
        <v>73.2</v>
      </c>
      <c r="L168" s="271">
        <f>366*40/100</f>
        <v>146.4</v>
      </c>
      <c r="M168" s="271">
        <v>0</v>
      </c>
      <c r="N168" s="271">
        <v>0</v>
      </c>
      <c r="O168" s="322" t="s">
        <v>455</v>
      </c>
      <c r="P168" s="326"/>
      <c r="Q168" s="326"/>
      <c r="R168" s="326"/>
      <c r="S168" s="326"/>
    </row>
    <row r="169" spans="1:21" s="327" customFormat="1" ht="13" customHeight="1" x14ac:dyDescent="0.3">
      <c r="A169" s="506"/>
      <c r="B169" s="274" t="s">
        <v>105</v>
      </c>
      <c r="C169" s="21">
        <v>180</v>
      </c>
      <c r="D169" s="21">
        <v>200</v>
      </c>
      <c r="E169" s="375">
        <v>5.48</v>
      </c>
      <c r="F169" s="375">
        <f>5.48*200/180</f>
        <v>6.0888888888888886</v>
      </c>
      <c r="G169" s="375">
        <v>4.88</v>
      </c>
      <c r="H169" s="375">
        <f>4.88*200/180</f>
        <v>5.4222222222222225</v>
      </c>
      <c r="I169" s="375">
        <v>9.07</v>
      </c>
      <c r="J169" s="375">
        <f>9.07*200/180</f>
        <v>10.077777777777778</v>
      </c>
      <c r="K169" s="375">
        <f>85*180/150</f>
        <v>102</v>
      </c>
      <c r="L169" s="375">
        <f>102*200/180</f>
        <v>113.33333333333333</v>
      </c>
      <c r="M169" s="375">
        <f>2.05*180/150</f>
        <v>2.4599999999999995</v>
      </c>
      <c r="N169" s="375">
        <f>2.46*200/180</f>
        <v>2.7333333333333334</v>
      </c>
      <c r="O169" s="376">
        <v>400</v>
      </c>
      <c r="P169" s="326"/>
      <c r="Q169" s="326"/>
      <c r="R169" s="326"/>
      <c r="S169" s="326"/>
    </row>
    <row r="170" spans="1:21" s="327" customFormat="1" ht="13" customHeight="1" thickBot="1" x14ac:dyDescent="0.35">
      <c r="A170" s="507"/>
      <c r="B170" s="26" t="s">
        <v>184</v>
      </c>
      <c r="C170" s="31">
        <v>17</v>
      </c>
      <c r="D170" s="144">
        <v>21</v>
      </c>
      <c r="E170" s="360">
        <f>5.6*17/100</f>
        <v>0.95199999999999985</v>
      </c>
      <c r="F170" s="360">
        <f>5.6*21/100</f>
        <v>1.1759999999999999</v>
      </c>
      <c r="G170" s="360">
        <f>1.1*17/100</f>
        <v>0.18700000000000003</v>
      </c>
      <c r="H170" s="360">
        <f>1.1*21/100</f>
        <v>0.23100000000000001</v>
      </c>
      <c r="I170" s="360">
        <f>49.4*17/100</f>
        <v>8.3979999999999997</v>
      </c>
      <c r="J170" s="360">
        <f>49.4*17/100</f>
        <v>8.3979999999999997</v>
      </c>
      <c r="K170" s="360">
        <f>232*17/100</f>
        <v>39.44</v>
      </c>
      <c r="L170" s="360">
        <f>232*21/100</f>
        <v>48.72</v>
      </c>
      <c r="M170" s="360">
        <v>0</v>
      </c>
      <c r="N170" s="360">
        <v>0</v>
      </c>
      <c r="O170" s="361" t="s">
        <v>451</v>
      </c>
      <c r="P170" s="326"/>
      <c r="Q170" s="326"/>
      <c r="R170" s="326"/>
      <c r="S170" s="326"/>
    </row>
    <row r="171" spans="1:21" ht="13" customHeight="1" thickBot="1" x14ac:dyDescent="0.35">
      <c r="A171" s="396" t="s">
        <v>95</v>
      </c>
      <c r="B171" s="197"/>
      <c r="C171" s="342"/>
      <c r="D171" s="337"/>
      <c r="E171" s="358">
        <f>SUM(E155:E170)</f>
        <v>54.149000000000001</v>
      </c>
      <c r="F171" s="358">
        <f t="shared" ref="F171:N171" si="7">SUM(F155:F170)</f>
        <v>67.817788888888899</v>
      </c>
      <c r="G171" s="358">
        <f t="shared" si="7"/>
        <v>57.9116</v>
      </c>
      <c r="H171" s="358">
        <f t="shared" si="7"/>
        <v>72.836722222222207</v>
      </c>
      <c r="I171" s="358">
        <f t="shared" si="7"/>
        <v>166.15099999999998</v>
      </c>
      <c r="J171" s="358">
        <f t="shared" si="7"/>
        <v>208.18677777777779</v>
      </c>
      <c r="K171" s="358">
        <f t="shared" si="7"/>
        <v>1409.2933333333335</v>
      </c>
      <c r="L171" s="358">
        <f t="shared" si="7"/>
        <v>1760.9066666666668</v>
      </c>
      <c r="M171" s="358">
        <f t="shared" si="7"/>
        <v>34.182499999999997</v>
      </c>
      <c r="N171" s="358">
        <f t="shared" si="7"/>
        <v>41.402833333333334</v>
      </c>
      <c r="O171" s="210"/>
    </row>
    <row r="172" spans="1:21" ht="21" customHeight="1" thickBot="1" x14ac:dyDescent="0.4">
      <c r="A172" s="483" t="s">
        <v>204</v>
      </c>
      <c r="B172" s="484"/>
      <c r="C172" s="484"/>
      <c r="D172" s="484"/>
      <c r="E172" s="484"/>
      <c r="F172" s="484"/>
      <c r="G172" s="484"/>
      <c r="H172" s="484"/>
      <c r="I172" s="484"/>
      <c r="J172" s="484"/>
      <c r="K172" s="484"/>
      <c r="L172" s="484"/>
      <c r="M172" s="484"/>
      <c r="N172" s="484"/>
      <c r="O172" s="485"/>
      <c r="P172" s="192"/>
      <c r="Q172" s="192"/>
      <c r="R172" s="192"/>
      <c r="S172" s="192"/>
      <c r="T172" s="193"/>
      <c r="U172" s="193"/>
    </row>
    <row r="173" spans="1:21" ht="12.25" customHeight="1" thickBot="1" x14ac:dyDescent="0.35">
      <c r="A173" s="494" t="s">
        <v>183</v>
      </c>
      <c r="B173" s="102" t="s">
        <v>79</v>
      </c>
      <c r="C173" s="496" t="s">
        <v>81</v>
      </c>
      <c r="D173" s="497"/>
      <c r="E173" s="498" t="s">
        <v>111</v>
      </c>
      <c r="F173" s="499"/>
      <c r="G173" s="499"/>
      <c r="H173" s="499"/>
      <c r="I173" s="499"/>
      <c r="J173" s="500"/>
      <c r="K173" s="488" t="s">
        <v>182</v>
      </c>
      <c r="L173" s="489"/>
      <c r="M173" s="488" t="s">
        <v>85</v>
      </c>
      <c r="N173" s="489"/>
      <c r="O173" s="501" t="s">
        <v>247</v>
      </c>
    </row>
    <row r="174" spans="1:21" ht="12.25" customHeight="1" thickBot="1" x14ac:dyDescent="0.35">
      <c r="A174" s="495"/>
      <c r="B174" s="330" t="s">
        <v>80</v>
      </c>
      <c r="C174" s="492" t="s">
        <v>80</v>
      </c>
      <c r="D174" s="493"/>
      <c r="E174" s="486" t="s">
        <v>82</v>
      </c>
      <c r="F174" s="487"/>
      <c r="G174" s="486" t="s">
        <v>83</v>
      </c>
      <c r="H174" s="487"/>
      <c r="I174" s="486" t="s">
        <v>84</v>
      </c>
      <c r="J174" s="487"/>
      <c r="K174" s="490"/>
      <c r="L174" s="491"/>
      <c r="M174" s="490"/>
      <c r="N174" s="491"/>
      <c r="O174" s="502"/>
    </row>
    <row r="175" spans="1:21" ht="12.75" customHeight="1" thickBot="1" x14ac:dyDescent="0.35">
      <c r="A175" s="503"/>
      <c r="B175" s="184"/>
      <c r="C175" s="331" t="s">
        <v>180</v>
      </c>
      <c r="D175" s="331" t="s">
        <v>181</v>
      </c>
      <c r="E175" s="346" t="s">
        <v>180</v>
      </c>
      <c r="F175" s="346" t="s">
        <v>181</v>
      </c>
      <c r="G175" s="346" t="s">
        <v>180</v>
      </c>
      <c r="H175" s="346" t="s">
        <v>181</v>
      </c>
      <c r="I175" s="346" t="s">
        <v>180</v>
      </c>
      <c r="J175" s="346" t="s">
        <v>181</v>
      </c>
      <c r="K175" s="346" t="s">
        <v>180</v>
      </c>
      <c r="L175" s="346" t="s">
        <v>181</v>
      </c>
      <c r="M175" s="346" t="s">
        <v>180</v>
      </c>
      <c r="N175" s="346" t="s">
        <v>181</v>
      </c>
      <c r="O175" s="502"/>
    </row>
    <row r="176" spans="1:21" s="327" customFormat="1" ht="12.25" customHeight="1" x14ac:dyDescent="0.3">
      <c r="A176" s="480" t="s">
        <v>86</v>
      </c>
      <c r="B176" s="325" t="s">
        <v>463</v>
      </c>
      <c r="C176" s="59">
        <v>150</v>
      </c>
      <c r="D176" s="59">
        <v>200</v>
      </c>
      <c r="E176" s="373">
        <v>7.1</v>
      </c>
      <c r="F176" s="373">
        <v>9.56</v>
      </c>
      <c r="G176" s="373">
        <v>7.01</v>
      </c>
      <c r="H176" s="373">
        <v>8.58</v>
      </c>
      <c r="I176" s="373">
        <v>29.63</v>
      </c>
      <c r="J176" s="373">
        <v>39.24</v>
      </c>
      <c r="K176" s="373">
        <v>210</v>
      </c>
      <c r="L176" s="373">
        <v>272</v>
      </c>
      <c r="M176" s="373">
        <v>0.03</v>
      </c>
      <c r="N176" s="373">
        <v>0.04</v>
      </c>
      <c r="O176" s="374">
        <v>207</v>
      </c>
      <c r="P176" s="326"/>
      <c r="Q176" s="326"/>
      <c r="R176" s="326"/>
      <c r="S176" s="326"/>
    </row>
    <row r="177" spans="1:19" s="327" customFormat="1" ht="12.25" customHeight="1" x14ac:dyDescent="0.3">
      <c r="A177" s="481"/>
      <c r="B177" s="22" t="s">
        <v>473</v>
      </c>
      <c r="C177" s="58">
        <v>24</v>
      </c>
      <c r="D177" s="64">
        <v>30</v>
      </c>
      <c r="E177" s="271">
        <f>7.5*24/100</f>
        <v>1.8</v>
      </c>
      <c r="F177" s="271">
        <f>7.5*30/100</f>
        <v>2.25</v>
      </c>
      <c r="G177" s="271">
        <f>2.9*24/1000</f>
        <v>6.9599999999999995E-2</v>
      </c>
      <c r="H177" s="271">
        <f>2.9*30/1000</f>
        <v>8.6999999999999994E-2</v>
      </c>
      <c r="I177" s="271">
        <f>51.4*24/100</f>
        <v>12.335999999999999</v>
      </c>
      <c r="J177" s="271">
        <f>51.4*30/100</f>
        <v>15.42</v>
      </c>
      <c r="K177" s="271">
        <f>262*24/100</f>
        <v>62.88</v>
      </c>
      <c r="L177" s="271">
        <f>262*30/100</f>
        <v>78.599999999999994</v>
      </c>
      <c r="M177" s="271">
        <f>0</f>
        <v>0</v>
      </c>
      <c r="N177" s="271">
        <v>0</v>
      </c>
      <c r="O177" s="322" t="s">
        <v>505</v>
      </c>
      <c r="P177" s="326"/>
      <c r="Q177" s="326"/>
      <c r="R177" s="326"/>
      <c r="S177" s="326"/>
    </row>
    <row r="178" spans="1:19" s="327" customFormat="1" ht="12.25" customHeight="1" x14ac:dyDescent="0.3">
      <c r="A178" s="481"/>
      <c r="B178" s="22" t="s">
        <v>29</v>
      </c>
      <c r="C178" s="24">
        <v>10</v>
      </c>
      <c r="D178" s="25">
        <v>10</v>
      </c>
      <c r="E178" s="375">
        <v>0.08</v>
      </c>
      <c r="F178" s="375">
        <v>0.08</v>
      </c>
      <c r="G178" s="375">
        <v>7.25</v>
      </c>
      <c r="H178" s="375">
        <v>7.25</v>
      </c>
      <c r="I178" s="375">
        <v>0.13</v>
      </c>
      <c r="J178" s="375">
        <v>0.13</v>
      </c>
      <c r="K178" s="375">
        <v>66</v>
      </c>
      <c r="L178" s="375">
        <v>66</v>
      </c>
      <c r="M178" s="375">
        <v>0</v>
      </c>
      <c r="N178" s="375">
        <v>0</v>
      </c>
      <c r="O178" s="376">
        <v>6</v>
      </c>
      <c r="P178" s="326"/>
      <c r="Q178" s="326"/>
      <c r="R178" s="326"/>
      <c r="S178" s="326"/>
    </row>
    <row r="179" spans="1:19" s="327" customFormat="1" ht="12.25" customHeight="1" thickBot="1" x14ac:dyDescent="0.35">
      <c r="A179" s="508"/>
      <c r="B179" s="26" t="s">
        <v>55</v>
      </c>
      <c r="C179" s="31">
        <v>150</v>
      </c>
      <c r="D179" s="31">
        <v>180</v>
      </c>
      <c r="E179" s="360">
        <v>3.15</v>
      </c>
      <c r="F179" s="360">
        <v>3.67</v>
      </c>
      <c r="G179" s="360">
        <v>2.72</v>
      </c>
      <c r="H179" s="360">
        <v>3.19</v>
      </c>
      <c r="I179" s="360">
        <v>12.96</v>
      </c>
      <c r="J179" s="360">
        <v>15.33</v>
      </c>
      <c r="K179" s="360">
        <v>89</v>
      </c>
      <c r="L179" s="360">
        <v>107</v>
      </c>
      <c r="M179" s="360">
        <v>1.2</v>
      </c>
      <c r="N179" s="360">
        <v>1.43</v>
      </c>
      <c r="O179" s="361">
        <v>397</v>
      </c>
      <c r="P179" s="326"/>
      <c r="Q179" s="326"/>
      <c r="R179" s="326"/>
      <c r="S179" s="326"/>
    </row>
    <row r="180" spans="1:19" s="327" customFormat="1" ht="12.25" customHeight="1" thickBot="1" x14ac:dyDescent="0.35">
      <c r="A180" s="389" t="s">
        <v>88</v>
      </c>
      <c r="B180" s="180" t="s">
        <v>169</v>
      </c>
      <c r="C180" s="334">
        <v>100</v>
      </c>
      <c r="D180" s="382">
        <v>100</v>
      </c>
      <c r="E180" s="383">
        <v>0.4</v>
      </c>
      <c r="F180" s="383">
        <v>0.4</v>
      </c>
      <c r="G180" s="383">
        <v>0.4</v>
      </c>
      <c r="H180" s="383">
        <v>0.4</v>
      </c>
      <c r="I180" s="383">
        <v>9.8000000000000007</v>
      </c>
      <c r="J180" s="383">
        <v>9.8000000000000007</v>
      </c>
      <c r="K180" s="383">
        <v>44</v>
      </c>
      <c r="L180" s="383">
        <v>44</v>
      </c>
      <c r="M180" s="383">
        <v>10</v>
      </c>
      <c r="N180" s="383">
        <v>10</v>
      </c>
      <c r="O180" s="154">
        <v>368</v>
      </c>
      <c r="P180" s="326"/>
      <c r="Q180" s="326"/>
      <c r="R180" s="326"/>
      <c r="S180" s="326"/>
    </row>
    <row r="181" spans="1:19" s="327" customFormat="1" ht="12.25" customHeight="1" x14ac:dyDescent="0.3">
      <c r="A181" s="480" t="s">
        <v>90</v>
      </c>
      <c r="B181" s="44" t="s">
        <v>134</v>
      </c>
      <c r="C181" s="59">
        <v>45</v>
      </c>
      <c r="D181" s="59">
        <v>60</v>
      </c>
      <c r="E181" s="373">
        <f>13.65*45/1000</f>
        <v>0.61424999999999996</v>
      </c>
      <c r="F181" s="373">
        <f>13.65*60/1000</f>
        <v>0.81899999999999995</v>
      </c>
      <c r="G181" s="373">
        <f>61.79*45/1000</f>
        <v>2.7805500000000003</v>
      </c>
      <c r="H181" s="373">
        <f>61.79*60/1000</f>
        <v>3.7074000000000003</v>
      </c>
      <c r="I181" s="373">
        <f>84.4*45/1000</f>
        <v>3.7980000000000005</v>
      </c>
      <c r="J181" s="373">
        <f>84.4*60/1000</f>
        <v>5.0640000000000001</v>
      </c>
      <c r="K181" s="373">
        <f>948*45/1000</f>
        <v>42.66</v>
      </c>
      <c r="L181" s="373">
        <f>948*60/1000</f>
        <v>56.88</v>
      </c>
      <c r="M181" s="373">
        <f>102.5*45/1000</f>
        <v>4.6124999999999998</v>
      </c>
      <c r="N181" s="373">
        <f>102.5*45/1000</f>
        <v>4.6124999999999998</v>
      </c>
      <c r="O181" s="374">
        <v>45</v>
      </c>
      <c r="P181" s="326"/>
      <c r="Q181" s="326"/>
      <c r="R181" s="326"/>
      <c r="S181" s="326"/>
    </row>
    <row r="182" spans="1:19" s="327" customFormat="1" ht="12.25" customHeight="1" x14ac:dyDescent="0.3">
      <c r="A182" s="481"/>
      <c r="B182" s="22" t="s">
        <v>419</v>
      </c>
      <c r="C182" s="53" t="s">
        <v>421</v>
      </c>
      <c r="D182" s="53" t="s">
        <v>422</v>
      </c>
      <c r="E182" s="271">
        <f>15.62*200/1000</f>
        <v>3.1240000000000001</v>
      </c>
      <c r="F182" s="271">
        <f>15.62*250/1000</f>
        <v>3.9049999999999998</v>
      </c>
      <c r="G182" s="271">
        <f>1.66*200/1000</f>
        <v>0.33200000000000002</v>
      </c>
      <c r="H182" s="271">
        <f>1.66*250/1000</f>
        <v>0.41499999999999998</v>
      </c>
      <c r="I182" s="271">
        <f>82.19*200/1000+40</f>
        <v>56.438000000000002</v>
      </c>
      <c r="J182" s="271">
        <f>82.19*250/1000+100</f>
        <v>120.5475</v>
      </c>
      <c r="K182" s="271">
        <f>406*200/1000</f>
        <v>81.2</v>
      </c>
      <c r="L182" s="271">
        <f>406*250/1000</f>
        <v>101.5</v>
      </c>
      <c r="M182" s="271">
        <f>15.9*200/1000</f>
        <v>3.18</v>
      </c>
      <c r="N182" s="271">
        <f>15.9*250/1000</f>
        <v>3.9750000000000001</v>
      </c>
      <c r="O182" s="322">
        <v>108</v>
      </c>
      <c r="P182" s="326"/>
      <c r="Q182" s="326"/>
      <c r="R182" s="326"/>
      <c r="S182" s="326"/>
    </row>
    <row r="183" spans="1:19" s="327" customFormat="1" ht="12.25" customHeight="1" x14ac:dyDescent="0.3">
      <c r="A183" s="481"/>
      <c r="B183" s="22" t="s">
        <v>262</v>
      </c>
      <c r="C183" s="24">
        <v>100</v>
      </c>
      <c r="D183" s="24">
        <v>150</v>
      </c>
      <c r="E183" s="271">
        <v>1.98</v>
      </c>
      <c r="F183" s="271">
        <v>3.13</v>
      </c>
      <c r="G183" s="271">
        <v>3.71</v>
      </c>
      <c r="H183" s="271">
        <v>5.56</v>
      </c>
      <c r="I183" s="271">
        <v>9.49</v>
      </c>
      <c r="J183" s="271">
        <v>14.38</v>
      </c>
      <c r="K183" s="271">
        <v>79</v>
      </c>
      <c r="L183" s="271">
        <v>120</v>
      </c>
      <c r="M183" s="271">
        <v>16.37</v>
      </c>
      <c r="N183" s="271">
        <v>24.99</v>
      </c>
      <c r="O183" s="322">
        <v>132</v>
      </c>
      <c r="P183" s="326"/>
      <c r="Q183" s="326"/>
      <c r="R183" s="326"/>
      <c r="S183" s="326"/>
    </row>
    <row r="184" spans="1:19" s="327" customFormat="1" ht="12.25" customHeight="1" x14ac:dyDescent="0.3">
      <c r="A184" s="481"/>
      <c r="B184" s="22" t="s">
        <v>225</v>
      </c>
      <c r="C184" s="24" t="s">
        <v>428</v>
      </c>
      <c r="D184" s="24" t="s">
        <v>218</v>
      </c>
      <c r="E184" s="271">
        <f>11.18*110/160</f>
        <v>7.6862499999999994</v>
      </c>
      <c r="F184" s="271">
        <f>11.18*140/160</f>
        <v>9.7825000000000006</v>
      </c>
      <c r="G184" s="271">
        <f>12.53*110/160</f>
        <v>8.614374999999999</v>
      </c>
      <c r="H184" s="271">
        <f>12.53*140/160</f>
        <v>10.963749999999999</v>
      </c>
      <c r="I184" s="271">
        <f>14.63*110/160</f>
        <v>10.058125</v>
      </c>
      <c r="J184" s="271">
        <f>14.63*140/160</f>
        <v>12.801250000000001</v>
      </c>
      <c r="K184" s="271">
        <f>216*110/150</f>
        <v>158.4</v>
      </c>
      <c r="L184" s="271">
        <f>216*140/160</f>
        <v>189</v>
      </c>
      <c r="M184" s="271">
        <f>1.03*110/160</f>
        <v>0.708125</v>
      </c>
      <c r="N184" s="271">
        <f>1.03*140/160</f>
        <v>0.90125000000000011</v>
      </c>
      <c r="O184" s="322">
        <v>286</v>
      </c>
      <c r="P184" s="326"/>
      <c r="Q184" s="326"/>
      <c r="R184" s="326"/>
      <c r="S184" s="326"/>
    </row>
    <row r="185" spans="1:19" s="327" customFormat="1" ht="12.25" customHeight="1" x14ac:dyDescent="0.3">
      <c r="A185" s="481"/>
      <c r="B185" s="22" t="s">
        <v>168</v>
      </c>
      <c r="C185" s="24">
        <v>150</v>
      </c>
      <c r="D185" s="24">
        <v>180</v>
      </c>
      <c r="E185" s="271">
        <v>0.51</v>
      </c>
      <c r="F185" s="271">
        <v>0.61</v>
      </c>
      <c r="G185" s="271">
        <v>0.21</v>
      </c>
      <c r="H185" s="271">
        <v>0.25</v>
      </c>
      <c r="I185" s="271">
        <v>14.23</v>
      </c>
      <c r="J185" s="271">
        <v>18.670000000000002</v>
      </c>
      <c r="K185" s="271">
        <v>61</v>
      </c>
      <c r="L185" s="271">
        <v>79</v>
      </c>
      <c r="M185" s="271">
        <v>75</v>
      </c>
      <c r="N185" s="271">
        <v>90</v>
      </c>
      <c r="O185" s="322">
        <v>398</v>
      </c>
      <c r="P185" s="326"/>
      <c r="Q185" s="326"/>
      <c r="R185" s="326"/>
      <c r="S185" s="326"/>
    </row>
    <row r="186" spans="1:19" s="327" customFormat="1" ht="12.25" customHeight="1" x14ac:dyDescent="0.3">
      <c r="A186" s="481"/>
      <c r="B186" s="22" t="s">
        <v>177</v>
      </c>
      <c r="C186" s="58">
        <v>20</v>
      </c>
      <c r="D186" s="64">
        <v>25</v>
      </c>
      <c r="E186" s="271">
        <f>7.6*20/100</f>
        <v>1.52</v>
      </c>
      <c r="F186" s="271">
        <f>7.6*25/100</f>
        <v>1.9</v>
      </c>
      <c r="G186" s="271">
        <f>0.8*20/1000</f>
        <v>1.6E-2</v>
      </c>
      <c r="H186" s="271">
        <f>0.8*25/1000</f>
        <v>0.02</v>
      </c>
      <c r="I186" s="271">
        <f>49.2*20/100</f>
        <v>9.84</v>
      </c>
      <c r="J186" s="271">
        <f>49.2*25/100</f>
        <v>12.3</v>
      </c>
      <c r="K186" s="271">
        <f>235*20/100</f>
        <v>47</v>
      </c>
      <c r="L186" s="271">
        <f>235*25/100</f>
        <v>58.75</v>
      </c>
      <c r="M186" s="271">
        <v>0</v>
      </c>
      <c r="N186" s="271">
        <v>0</v>
      </c>
      <c r="O186" s="322" t="s">
        <v>451</v>
      </c>
      <c r="P186" s="326"/>
      <c r="Q186" s="326"/>
      <c r="R186" s="326"/>
      <c r="S186" s="326"/>
    </row>
    <row r="187" spans="1:19" s="327" customFormat="1" ht="12.25" customHeight="1" thickBot="1" x14ac:dyDescent="0.35">
      <c r="A187" s="482"/>
      <c r="B187" s="36" t="s">
        <v>184</v>
      </c>
      <c r="C187" s="21">
        <v>17</v>
      </c>
      <c r="D187" s="29">
        <v>21</v>
      </c>
      <c r="E187" s="375">
        <f>5.6*17/100</f>
        <v>0.95199999999999985</v>
      </c>
      <c r="F187" s="375">
        <f>5.6*21/100</f>
        <v>1.1759999999999999</v>
      </c>
      <c r="G187" s="375">
        <f>1.1*17/100</f>
        <v>0.18700000000000003</v>
      </c>
      <c r="H187" s="375">
        <f>1.1*21/100</f>
        <v>0.23100000000000001</v>
      </c>
      <c r="I187" s="375">
        <f>49.4*17/100</f>
        <v>8.3979999999999997</v>
      </c>
      <c r="J187" s="375">
        <f>49.4*17/100</f>
        <v>8.3979999999999997</v>
      </c>
      <c r="K187" s="375">
        <f>232*17/100</f>
        <v>39.44</v>
      </c>
      <c r="L187" s="375">
        <f>232*21/100</f>
        <v>48.72</v>
      </c>
      <c r="M187" s="375">
        <v>0</v>
      </c>
      <c r="N187" s="375">
        <v>0</v>
      </c>
      <c r="O187" s="376" t="s">
        <v>451</v>
      </c>
      <c r="P187" s="326"/>
      <c r="Q187" s="326"/>
      <c r="R187" s="326"/>
      <c r="S187" s="326"/>
    </row>
    <row r="188" spans="1:19" s="327" customFormat="1" ht="12.25" customHeight="1" x14ac:dyDescent="0.3">
      <c r="A188" s="505" t="s">
        <v>91</v>
      </c>
      <c r="B188" s="44" t="s">
        <v>441</v>
      </c>
      <c r="C188" s="59">
        <v>65</v>
      </c>
      <c r="D188" s="59">
        <v>105</v>
      </c>
      <c r="E188" s="373">
        <v>8.91</v>
      </c>
      <c r="F188" s="373">
        <v>14.83</v>
      </c>
      <c r="G188" s="373">
        <v>7.89</v>
      </c>
      <c r="H188" s="373">
        <v>10.86</v>
      </c>
      <c r="I188" s="373">
        <v>9.2100000000000009</v>
      </c>
      <c r="J188" s="373">
        <v>15.31</v>
      </c>
      <c r="K188" s="373">
        <v>144</v>
      </c>
      <c r="L188" s="373">
        <v>218</v>
      </c>
      <c r="M188" s="373">
        <v>0.12</v>
      </c>
      <c r="N188" s="373">
        <v>0.19</v>
      </c>
      <c r="O188" s="374">
        <v>230</v>
      </c>
      <c r="P188" s="326"/>
      <c r="Q188" s="326"/>
      <c r="R188" s="326"/>
      <c r="S188" s="326"/>
    </row>
    <row r="189" spans="1:19" s="327" customFormat="1" ht="12.25" customHeight="1" x14ac:dyDescent="0.3">
      <c r="A189" s="506"/>
      <c r="B189" s="22" t="s">
        <v>178</v>
      </c>
      <c r="C189" s="30" t="s">
        <v>243</v>
      </c>
      <c r="D189" s="30" t="s">
        <v>242</v>
      </c>
      <c r="E189" s="271">
        <v>5.22</v>
      </c>
      <c r="F189" s="271">
        <f>5.22*200/180</f>
        <v>5.8</v>
      </c>
      <c r="G189" s="271">
        <v>4.5</v>
      </c>
      <c r="H189" s="271">
        <f>4.5*200/180</f>
        <v>5</v>
      </c>
      <c r="I189" s="271">
        <v>7.56</v>
      </c>
      <c r="J189" s="271">
        <f>7.56*200/180</f>
        <v>8.4</v>
      </c>
      <c r="K189" s="271">
        <v>92</v>
      </c>
      <c r="L189" s="271">
        <f>92*200/180</f>
        <v>102.22222222222223</v>
      </c>
      <c r="M189" s="271">
        <v>0.54</v>
      </c>
      <c r="N189" s="271">
        <f>0.54*200/180</f>
        <v>0.6</v>
      </c>
      <c r="O189" s="322">
        <v>401</v>
      </c>
      <c r="P189" s="326"/>
      <c r="Q189" s="326"/>
      <c r="R189" s="326"/>
      <c r="S189" s="326"/>
    </row>
    <row r="190" spans="1:19" s="327" customFormat="1" ht="12.25" customHeight="1" x14ac:dyDescent="0.3">
      <c r="A190" s="506"/>
      <c r="B190" s="22" t="s">
        <v>191</v>
      </c>
      <c r="C190" s="24">
        <v>20</v>
      </c>
      <c r="D190" s="24">
        <v>50</v>
      </c>
      <c r="E190" s="271">
        <f>2.8*20/100</f>
        <v>0.56000000000000005</v>
      </c>
      <c r="F190" s="271">
        <f>2.8*50/100</f>
        <v>1.4</v>
      </c>
      <c r="G190" s="271">
        <f>3.3*20/100</f>
        <v>0.66</v>
      </c>
      <c r="H190" s="271">
        <f>3.3*50/100</f>
        <v>1.65</v>
      </c>
      <c r="I190" s="271">
        <f>77.3*20/100</f>
        <v>15.46</v>
      </c>
      <c r="J190" s="271">
        <f>77.3*50/100</f>
        <v>38.65</v>
      </c>
      <c r="K190" s="271">
        <f>350*20/100</f>
        <v>70</v>
      </c>
      <c r="L190" s="271">
        <f>350*50/100</f>
        <v>175</v>
      </c>
      <c r="M190" s="271">
        <v>0</v>
      </c>
      <c r="N190" s="271">
        <v>0</v>
      </c>
      <c r="O190" s="322" t="s">
        <v>221</v>
      </c>
      <c r="P190" s="326"/>
      <c r="Q190" s="326"/>
      <c r="R190" s="326"/>
      <c r="S190" s="326"/>
    </row>
    <row r="191" spans="1:19" s="327" customFormat="1" ht="12.25" customHeight="1" thickBot="1" x14ac:dyDescent="0.35">
      <c r="A191" s="507"/>
      <c r="B191" s="26" t="s">
        <v>184</v>
      </c>
      <c r="C191" s="31">
        <v>17</v>
      </c>
      <c r="D191" s="31">
        <v>21</v>
      </c>
      <c r="E191" s="360">
        <f>5.6*17/100</f>
        <v>0.95199999999999985</v>
      </c>
      <c r="F191" s="360">
        <f>5.6*21/100</f>
        <v>1.1759999999999999</v>
      </c>
      <c r="G191" s="360">
        <f>1.1*17/100</f>
        <v>0.18700000000000003</v>
      </c>
      <c r="H191" s="360">
        <f>1.1*21/100</f>
        <v>0.23100000000000001</v>
      </c>
      <c r="I191" s="360">
        <f>49.4*17/100</f>
        <v>8.3979999999999997</v>
      </c>
      <c r="J191" s="360">
        <f>49.4*17/100</f>
        <v>8.3979999999999997</v>
      </c>
      <c r="K191" s="360">
        <f>232*17/100</f>
        <v>39.44</v>
      </c>
      <c r="L191" s="360">
        <f>232*21/100</f>
        <v>48.72</v>
      </c>
      <c r="M191" s="360">
        <v>0</v>
      </c>
      <c r="N191" s="360">
        <v>0</v>
      </c>
      <c r="O191" s="361" t="s">
        <v>451</v>
      </c>
      <c r="P191" s="326"/>
      <c r="Q191" s="326"/>
      <c r="R191" s="326"/>
      <c r="S191" s="326"/>
    </row>
    <row r="192" spans="1:19" ht="12.25" customHeight="1" thickBot="1" x14ac:dyDescent="0.35">
      <c r="A192" s="394" t="s">
        <v>95</v>
      </c>
      <c r="B192" s="310"/>
      <c r="C192" s="343"/>
      <c r="D192" s="343"/>
      <c r="E192" s="358">
        <f t="shared" ref="E192:N192" si="8">SUM(E176:E191)</f>
        <v>44.558499999999995</v>
      </c>
      <c r="F192" s="358">
        <f t="shared" si="8"/>
        <v>60.488499999999995</v>
      </c>
      <c r="G192" s="358">
        <f t="shared" si="8"/>
        <v>46.53652499999999</v>
      </c>
      <c r="H192" s="358">
        <f t="shared" si="8"/>
        <v>58.395150000000001</v>
      </c>
      <c r="I192" s="358">
        <f t="shared" si="8"/>
        <v>217.73612499999999</v>
      </c>
      <c r="J192" s="358">
        <f t="shared" si="8"/>
        <v>342.83875</v>
      </c>
      <c r="K192" s="358">
        <f t="shared" si="8"/>
        <v>1326.02</v>
      </c>
      <c r="L192" s="358">
        <f t="shared" si="8"/>
        <v>1765.3922222222222</v>
      </c>
      <c r="M192" s="358">
        <f t="shared" si="8"/>
        <v>111.76062500000002</v>
      </c>
      <c r="N192" s="358">
        <f t="shared" si="8"/>
        <v>136.73874999999998</v>
      </c>
      <c r="O192" s="359"/>
    </row>
    <row r="193" spans="1:21" ht="12.25" customHeight="1" thickBot="1" x14ac:dyDescent="0.4">
      <c r="A193" s="483" t="s">
        <v>205</v>
      </c>
      <c r="B193" s="484"/>
      <c r="C193" s="484"/>
      <c r="D193" s="484"/>
      <c r="E193" s="484"/>
      <c r="F193" s="484"/>
      <c r="G193" s="484"/>
      <c r="H193" s="484"/>
      <c r="I193" s="484"/>
      <c r="J193" s="484"/>
      <c r="K193" s="484"/>
      <c r="L193" s="484"/>
      <c r="M193" s="484"/>
      <c r="N193" s="484"/>
      <c r="O193" s="485"/>
      <c r="P193" s="192"/>
      <c r="Q193" s="192"/>
      <c r="R193" s="192"/>
      <c r="S193" s="192"/>
      <c r="T193" s="193"/>
      <c r="U193" s="193"/>
    </row>
    <row r="194" spans="1:21" ht="12.25" customHeight="1" thickBot="1" x14ac:dyDescent="0.35">
      <c r="A194" s="494" t="s">
        <v>183</v>
      </c>
      <c r="B194" s="102" t="s">
        <v>79</v>
      </c>
      <c r="C194" s="496" t="s">
        <v>81</v>
      </c>
      <c r="D194" s="497"/>
      <c r="E194" s="498" t="s">
        <v>111</v>
      </c>
      <c r="F194" s="499"/>
      <c r="G194" s="499"/>
      <c r="H194" s="499"/>
      <c r="I194" s="499"/>
      <c r="J194" s="500"/>
      <c r="K194" s="488" t="s">
        <v>182</v>
      </c>
      <c r="L194" s="489"/>
      <c r="M194" s="488" t="s">
        <v>85</v>
      </c>
      <c r="N194" s="489"/>
      <c r="O194" s="501" t="s">
        <v>247</v>
      </c>
    </row>
    <row r="195" spans="1:21" ht="12.25" customHeight="1" thickBot="1" x14ac:dyDescent="0.35">
      <c r="A195" s="495"/>
      <c r="B195" s="330" t="s">
        <v>80</v>
      </c>
      <c r="C195" s="492" t="s">
        <v>80</v>
      </c>
      <c r="D195" s="493"/>
      <c r="E195" s="486" t="s">
        <v>82</v>
      </c>
      <c r="F195" s="487"/>
      <c r="G195" s="486" t="s">
        <v>83</v>
      </c>
      <c r="H195" s="487"/>
      <c r="I195" s="486" t="s">
        <v>84</v>
      </c>
      <c r="J195" s="487"/>
      <c r="K195" s="490"/>
      <c r="L195" s="491"/>
      <c r="M195" s="490"/>
      <c r="N195" s="491"/>
      <c r="O195" s="502"/>
    </row>
    <row r="196" spans="1:21" ht="12.25" customHeight="1" thickBot="1" x14ac:dyDescent="0.35">
      <c r="A196" s="495"/>
      <c r="B196" s="184"/>
      <c r="C196" s="331" t="s">
        <v>180</v>
      </c>
      <c r="D196" s="331" t="s">
        <v>181</v>
      </c>
      <c r="E196" s="346" t="s">
        <v>180</v>
      </c>
      <c r="F196" s="346" t="s">
        <v>181</v>
      </c>
      <c r="G196" s="346" t="s">
        <v>180</v>
      </c>
      <c r="H196" s="346" t="s">
        <v>181</v>
      </c>
      <c r="I196" s="346" t="s">
        <v>180</v>
      </c>
      <c r="J196" s="346" t="s">
        <v>181</v>
      </c>
      <c r="K196" s="346" t="s">
        <v>180</v>
      </c>
      <c r="L196" s="346" t="s">
        <v>181</v>
      </c>
      <c r="M196" s="346" t="s">
        <v>180</v>
      </c>
      <c r="N196" s="346" t="s">
        <v>181</v>
      </c>
      <c r="O196" s="502"/>
    </row>
    <row r="197" spans="1:21" s="327" customFormat="1" ht="12.25" customHeight="1" x14ac:dyDescent="0.3">
      <c r="A197" s="480" t="s">
        <v>86</v>
      </c>
      <c r="B197" s="44" t="s">
        <v>377</v>
      </c>
      <c r="C197" s="59">
        <v>160</v>
      </c>
      <c r="D197" s="59">
        <v>210</v>
      </c>
      <c r="E197" s="373">
        <v>2.3199999999999998</v>
      </c>
      <c r="F197" s="373">
        <v>3.09</v>
      </c>
      <c r="G197" s="373">
        <v>3.96</v>
      </c>
      <c r="H197" s="373">
        <v>4.07</v>
      </c>
      <c r="I197" s="373">
        <v>28.97</v>
      </c>
      <c r="J197" s="373">
        <v>36.979999999999997</v>
      </c>
      <c r="K197" s="373">
        <v>161</v>
      </c>
      <c r="L197" s="373">
        <v>197</v>
      </c>
      <c r="M197" s="373">
        <v>0</v>
      </c>
      <c r="N197" s="373">
        <v>0</v>
      </c>
      <c r="O197" s="374">
        <v>168</v>
      </c>
      <c r="P197" s="326"/>
      <c r="Q197" s="326"/>
      <c r="R197" s="326"/>
      <c r="S197" s="326"/>
    </row>
    <row r="198" spans="1:21" s="327" customFormat="1" ht="12.25" customHeight="1" x14ac:dyDescent="0.3">
      <c r="A198" s="481"/>
      <c r="B198" s="22" t="s">
        <v>259</v>
      </c>
      <c r="C198" s="30" t="s">
        <v>293</v>
      </c>
      <c r="D198" s="30" t="s">
        <v>354</v>
      </c>
      <c r="E198" s="271">
        <f>4.73*39/45</f>
        <v>4.0993333333333339</v>
      </c>
      <c r="F198" s="271">
        <v>4.7300000000000004</v>
      </c>
      <c r="G198" s="271">
        <f>6.88*39/45</f>
        <v>5.9626666666666663</v>
      </c>
      <c r="H198" s="271">
        <v>6.88</v>
      </c>
      <c r="I198" s="271">
        <f>14.56*39/45</f>
        <v>12.618666666666668</v>
      </c>
      <c r="J198" s="271">
        <v>14.56</v>
      </c>
      <c r="K198" s="271">
        <f>139*39/45</f>
        <v>120.46666666666667</v>
      </c>
      <c r="L198" s="271">
        <v>139</v>
      </c>
      <c r="M198" s="271">
        <f>0.07*39/45</f>
        <v>6.0666666666666674E-2</v>
      </c>
      <c r="N198" s="271">
        <v>7.0000000000000007E-2</v>
      </c>
      <c r="O198" s="322">
        <v>3</v>
      </c>
      <c r="P198" s="326"/>
      <c r="Q198" s="326"/>
      <c r="R198" s="326"/>
      <c r="S198" s="326"/>
    </row>
    <row r="199" spans="1:21" s="327" customFormat="1" ht="12.25" customHeight="1" thickBot="1" x14ac:dyDescent="0.35">
      <c r="A199" s="482"/>
      <c r="B199" s="96" t="s">
        <v>52</v>
      </c>
      <c r="C199" s="31">
        <v>150</v>
      </c>
      <c r="D199" s="31">
        <v>180</v>
      </c>
      <c r="E199" s="360">
        <v>2.65</v>
      </c>
      <c r="F199" s="360">
        <v>2.67</v>
      </c>
      <c r="G199" s="360">
        <v>2.33</v>
      </c>
      <c r="H199" s="360">
        <v>2.67</v>
      </c>
      <c r="I199" s="360">
        <v>11.31</v>
      </c>
      <c r="J199" s="360">
        <v>14.31</v>
      </c>
      <c r="K199" s="360">
        <v>77</v>
      </c>
      <c r="L199" s="360">
        <v>89</v>
      </c>
      <c r="M199" s="360">
        <v>1.19</v>
      </c>
      <c r="N199" s="360">
        <v>1.2</v>
      </c>
      <c r="O199" s="361">
        <v>394</v>
      </c>
      <c r="P199" s="326"/>
      <c r="Q199" s="326"/>
      <c r="R199" s="326"/>
      <c r="S199" s="326"/>
    </row>
    <row r="200" spans="1:21" s="327" customFormat="1" ht="12.25" customHeight="1" thickBot="1" x14ac:dyDescent="0.35">
      <c r="A200" s="539" t="s">
        <v>88</v>
      </c>
      <c r="B200" s="71" t="s">
        <v>89</v>
      </c>
      <c r="C200" s="106">
        <v>0</v>
      </c>
      <c r="D200" s="106">
        <v>200</v>
      </c>
      <c r="E200" s="377">
        <v>0</v>
      </c>
      <c r="F200" s="377">
        <f>0.45*200/150</f>
        <v>0.6</v>
      </c>
      <c r="G200" s="377">
        <v>0</v>
      </c>
      <c r="H200" s="377">
        <f>0.15*200/150</f>
        <v>0.2</v>
      </c>
      <c r="I200" s="377">
        <v>0</v>
      </c>
      <c r="J200" s="377">
        <f>22.8*200/150</f>
        <v>30.4</v>
      </c>
      <c r="K200" s="377">
        <v>0</v>
      </c>
      <c r="L200" s="377">
        <f>94*200/150</f>
        <v>125.33333333333333</v>
      </c>
      <c r="M200" s="377">
        <v>0</v>
      </c>
      <c r="N200" s="377">
        <f>6*200/150</f>
        <v>8</v>
      </c>
      <c r="O200" s="378">
        <v>399</v>
      </c>
      <c r="P200" s="326"/>
      <c r="Q200" s="326"/>
      <c r="R200" s="326"/>
      <c r="S200" s="326"/>
    </row>
    <row r="201" spans="1:21" s="327" customFormat="1" ht="12.25" customHeight="1" thickBot="1" x14ac:dyDescent="0.35">
      <c r="A201" s="540"/>
      <c r="B201" s="180" t="s">
        <v>169</v>
      </c>
      <c r="C201" s="334">
        <v>100</v>
      </c>
      <c r="D201" s="382">
        <v>0</v>
      </c>
      <c r="E201" s="383">
        <v>0.4</v>
      </c>
      <c r="F201" s="383">
        <v>0</v>
      </c>
      <c r="G201" s="383">
        <v>0.4</v>
      </c>
      <c r="H201" s="383">
        <v>0</v>
      </c>
      <c r="I201" s="383">
        <v>9.8000000000000007</v>
      </c>
      <c r="J201" s="383">
        <v>0</v>
      </c>
      <c r="K201" s="383">
        <v>44</v>
      </c>
      <c r="L201" s="383">
        <v>0</v>
      </c>
      <c r="M201" s="383">
        <v>10</v>
      </c>
      <c r="N201" s="383">
        <v>0</v>
      </c>
      <c r="O201" s="154">
        <v>368</v>
      </c>
      <c r="P201" s="326"/>
      <c r="Q201" s="326"/>
      <c r="R201" s="326"/>
      <c r="S201" s="326"/>
    </row>
    <row r="202" spans="1:21" s="327" customFormat="1" ht="12.25" customHeight="1" x14ac:dyDescent="0.3">
      <c r="A202" s="480" t="s">
        <v>90</v>
      </c>
      <c r="B202" s="44" t="s">
        <v>492</v>
      </c>
      <c r="C202" s="59">
        <v>45</v>
      </c>
      <c r="D202" s="59">
        <v>60</v>
      </c>
      <c r="E202" s="373">
        <f>23.48*45/1000</f>
        <v>1.0566</v>
      </c>
      <c r="F202" s="373">
        <f>23.48*60/1000</f>
        <v>1.4088000000000001</v>
      </c>
      <c r="G202" s="373">
        <f>45.97*45/1000</f>
        <v>2.0686499999999999</v>
      </c>
      <c r="H202" s="373">
        <f>45.97*60/1000</f>
        <v>2.7582</v>
      </c>
      <c r="I202" s="373">
        <f>123.33*45/1000</f>
        <v>5.5498500000000002</v>
      </c>
      <c r="J202" s="373">
        <f>123.33*60/1000</f>
        <v>7.3997999999999999</v>
      </c>
      <c r="K202" s="373">
        <f>1001*45/1000</f>
        <v>45.045000000000002</v>
      </c>
      <c r="L202" s="373">
        <f>1001*60/1000</f>
        <v>60.06</v>
      </c>
      <c r="M202" s="373">
        <f>67.2*45/1000</f>
        <v>3.024</v>
      </c>
      <c r="N202" s="373">
        <f>67.2*60/1000</f>
        <v>4.032</v>
      </c>
      <c r="O202" s="374">
        <v>54</v>
      </c>
      <c r="P202" s="326"/>
      <c r="Q202" s="326"/>
      <c r="R202" s="326"/>
      <c r="S202" s="326"/>
    </row>
    <row r="203" spans="1:21" s="327" customFormat="1" ht="12.25" customHeight="1" x14ac:dyDescent="0.3">
      <c r="A203" s="481"/>
      <c r="B203" s="22" t="s">
        <v>343</v>
      </c>
      <c r="C203" s="24">
        <v>200</v>
      </c>
      <c r="D203" s="24">
        <v>250</v>
      </c>
      <c r="E203" s="271">
        <f>8.17*200/1000+0.24</f>
        <v>1.8739999999999999</v>
      </c>
      <c r="F203" s="271">
        <f>8.17*250/1000+0.24</f>
        <v>2.2824999999999998</v>
      </c>
      <c r="G203" s="271">
        <f>20.02*200/1000</f>
        <v>4.0039999999999996</v>
      </c>
      <c r="H203" s="271">
        <f>20.02*250/1000</f>
        <v>5.0049999999999999</v>
      </c>
      <c r="I203" s="271">
        <f>56.43*200/1000+0.32</f>
        <v>11.606</v>
      </c>
      <c r="J203" s="271">
        <f>56.43*250/1000+0.32</f>
        <v>14.4275</v>
      </c>
      <c r="K203" s="271">
        <f>439*200/1000</f>
        <v>87.8</v>
      </c>
      <c r="L203" s="271">
        <f>439*250/1000</f>
        <v>109.75</v>
      </c>
      <c r="M203" s="271">
        <f>35.15*200/1000+0.03</f>
        <v>7.0600000000000005</v>
      </c>
      <c r="N203" s="271">
        <f>35.15*200/1000+0.03</f>
        <v>7.0600000000000005</v>
      </c>
      <c r="O203" s="322">
        <v>58</v>
      </c>
      <c r="P203" s="326"/>
      <c r="Q203" s="326"/>
      <c r="R203" s="326"/>
      <c r="S203" s="326"/>
    </row>
    <row r="204" spans="1:21" s="327" customFormat="1" ht="12.25" customHeight="1" x14ac:dyDescent="0.3">
      <c r="A204" s="481"/>
      <c r="B204" s="22" t="s">
        <v>144</v>
      </c>
      <c r="C204" s="24">
        <v>60</v>
      </c>
      <c r="D204" s="24">
        <v>80</v>
      </c>
      <c r="E204" s="271">
        <v>8.98</v>
      </c>
      <c r="F204" s="271">
        <v>12.08</v>
      </c>
      <c r="G204" s="271">
        <v>2.68</v>
      </c>
      <c r="H204" s="271">
        <v>3.92</v>
      </c>
      <c r="I204" s="271">
        <v>5.84</v>
      </c>
      <c r="J204" s="271">
        <v>8.2100000000000009</v>
      </c>
      <c r="K204" s="271">
        <v>83</v>
      </c>
      <c r="L204" s="271">
        <v>116</v>
      </c>
      <c r="M204" s="271">
        <v>1.83</v>
      </c>
      <c r="N204" s="271">
        <v>2.62</v>
      </c>
      <c r="O204" s="322">
        <v>258</v>
      </c>
      <c r="P204" s="326"/>
      <c r="Q204" s="326"/>
      <c r="R204" s="326"/>
      <c r="S204" s="326"/>
    </row>
    <row r="205" spans="1:21" s="327" customFormat="1" ht="12.25" customHeight="1" x14ac:dyDescent="0.3">
      <c r="A205" s="481"/>
      <c r="B205" s="22" t="s">
        <v>104</v>
      </c>
      <c r="C205" s="24">
        <v>120</v>
      </c>
      <c r="D205" s="24">
        <v>150</v>
      </c>
      <c r="E205" s="271">
        <f>20.43*120/1000</f>
        <v>2.4516</v>
      </c>
      <c r="F205" s="271">
        <f>20.43*150/1000</f>
        <v>3.0644999999999998</v>
      </c>
      <c r="G205" s="271">
        <f>32.01*120/1000</f>
        <v>3.8411999999999997</v>
      </c>
      <c r="H205" s="271">
        <f>32.01*150/1000</f>
        <v>4.8014999999999999</v>
      </c>
      <c r="I205" s="271">
        <f>136.26*120/1000</f>
        <v>16.351199999999999</v>
      </c>
      <c r="J205" s="271">
        <f>136.26*150/1000</f>
        <v>20.439</v>
      </c>
      <c r="K205" s="271">
        <f>915*120/1000</f>
        <v>109.8</v>
      </c>
      <c r="L205" s="271">
        <f>915*150/1000</f>
        <v>137.25</v>
      </c>
      <c r="M205" s="271">
        <f>121.07*120/1000</f>
        <v>14.5284</v>
      </c>
      <c r="N205" s="271">
        <f>121.07*150/1000</f>
        <v>18.160499999999999</v>
      </c>
      <c r="O205" s="322">
        <v>321</v>
      </c>
      <c r="P205" s="326"/>
      <c r="Q205" s="326"/>
      <c r="R205" s="326"/>
      <c r="S205" s="326"/>
    </row>
    <row r="206" spans="1:21" s="327" customFormat="1" ht="12.25" customHeight="1" x14ac:dyDescent="0.3">
      <c r="A206" s="481"/>
      <c r="B206" s="22" t="s">
        <v>374</v>
      </c>
      <c r="C206" s="24">
        <v>150</v>
      </c>
      <c r="D206" s="24">
        <v>180</v>
      </c>
      <c r="E206" s="271">
        <f>0.8*200/1000</f>
        <v>0.16</v>
      </c>
      <c r="F206" s="271">
        <f>0.8*200/1000</f>
        <v>0.16</v>
      </c>
      <c r="G206" s="271">
        <f>0.8*200/1000</f>
        <v>0.16</v>
      </c>
      <c r="H206" s="271">
        <f>0.8*200/1000</f>
        <v>0.16</v>
      </c>
      <c r="I206" s="271">
        <f>119.4*200/1000</f>
        <v>23.88</v>
      </c>
      <c r="J206" s="271">
        <f>119.4*200/1000</f>
        <v>23.88</v>
      </c>
      <c r="K206" s="271">
        <f>488*200/1000</f>
        <v>97.6</v>
      </c>
      <c r="L206" s="271">
        <f>488*200/1000</f>
        <v>97.6</v>
      </c>
      <c r="M206" s="271">
        <f>8.6*200/1000</f>
        <v>1.72</v>
      </c>
      <c r="N206" s="271">
        <f>8.6*200/1000</f>
        <v>1.72</v>
      </c>
      <c r="O206" s="322">
        <v>372</v>
      </c>
      <c r="P206" s="326"/>
      <c r="Q206" s="326"/>
      <c r="R206" s="326"/>
      <c r="S206" s="326"/>
    </row>
    <row r="207" spans="1:21" s="327" customFormat="1" ht="12.25" customHeight="1" x14ac:dyDescent="0.3">
      <c r="A207" s="481"/>
      <c r="B207" s="22" t="s">
        <v>177</v>
      </c>
      <c r="C207" s="58">
        <v>20</v>
      </c>
      <c r="D207" s="64">
        <v>25</v>
      </c>
      <c r="E207" s="271">
        <f>7.6*20/100</f>
        <v>1.52</v>
      </c>
      <c r="F207" s="271">
        <f>7.6*25/100</f>
        <v>1.9</v>
      </c>
      <c r="G207" s="271">
        <f>0.8*20/1000</f>
        <v>1.6E-2</v>
      </c>
      <c r="H207" s="271">
        <f>0.8*25/1000</f>
        <v>0.02</v>
      </c>
      <c r="I207" s="271">
        <f>49.2*20/100</f>
        <v>9.84</v>
      </c>
      <c r="J207" s="271">
        <f>49.2*25/100</f>
        <v>12.3</v>
      </c>
      <c r="K207" s="271">
        <f>235*20/100</f>
        <v>47</v>
      </c>
      <c r="L207" s="271">
        <f>235*25/100</f>
        <v>58.75</v>
      </c>
      <c r="M207" s="271">
        <v>0</v>
      </c>
      <c r="N207" s="271">
        <v>0</v>
      </c>
      <c r="O207" s="322" t="s">
        <v>451</v>
      </c>
      <c r="P207" s="326"/>
      <c r="Q207" s="326"/>
      <c r="R207" s="326"/>
      <c r="S207" s="326"/>
    </row>
    <row r="208" spans="1:21" s="327" customFormat="1" ht="12.25" customHeight="1" thickBot="1" x14ac:dyDescent="0.35">
      <c r="A208" s="482"/>
      <c r="B208" s="36" t="s">
        <v>184</v>
      </c>
      <c r="C208" s="21">
        <v>17</v>
      </c>
      <c r="D208" s="29">
        <v>21</v>
      </c>
      <c r="E208" s="375">
        <f>5.6*17/100</f>
        <v>0.95199999999999985</v>
      </c>
      <c r="F208" s="375">
        <f>5.6*21/100</f>
        <v>1.1759999999999999</v>
      </c>
      <c r="G208" s="375">
        <f>1.1*17/100</f>
        <v>0.18700000000000003</v>
      </c>
      <c r="H208" s="375">
        <f>1.1*21/100</f>
        <v>0.23100000000000001</v>
      </c>
      <c r="I208" s="375">
        <f>49.4*17/100</f>
        <v>8.3979999999999997</v>
      </c>
      <c r="J208" s="375">
        <f>49.4*17/100</f>
        <v>8.3979999999999997</v>
      </c>
      <c r="K208" s="375">
        <f>232*17/100</f>
        <v>39.44</v>
      </c>
      <c r="L208" s="375">
        <f>232*21/100</f>
        <v>48.72</v>
      </c>
      <c r="M208" s="375">
        <v>0</v>
      </c>
      <c r="N208" s="375">
        <v>0</v>
      </c>
      <c r="O208" s="376" t="s">
        <v>451</v>
      </c>
      <c r="P208" s="326"/>
      <c r="Q208" s="326"/>
      <c r="R208" s="326"/>
      <c r="S208" s="326"/>
    </row>
    <row r="209" spans="1:19" s="327" customFormat="1" ht="12.25" customHeight="1" x14ac:dyDescent="0.3">
      <c r="A209" s="530" t="s">
        <v>91</v>
      </c>
      <c r="B209" s="44" t="s">
        <v>309</v>
      </c>
      <c r="C209" s="59">
        <v>100</v>
      </c>
      <c r="D209" s="59">
        <v>150</v>
      </c>
      <c r="E209" s="373">
        <f>18.78*100/1000</f>
        <v>1.8779999999999999</v>
      </c>
      <c r="F209" s="373">
        <f>18.78*150/1000</f>
        <v>2.8170000000000002</v>
      </c>
      <c r="G209" s="373">
        <f>40.73*100/1000</f>
        <v>4.0729999999999995</v>
      </c>
      <c r="H209" s="373">
        <f>40.73*150/1000</f>
        <v>6.1094999999999988</v>
      </c>
      <c r="I209" s="373">
        <f>95.12*100/1000</f>
        <v>9.5120000000000005</v>
      </c>
      <c r="J209" s="373">
        <f>95.12*150/1000</f>
        <v>14.268000000000001</v>
      </c>
      <c r="K209" s="373">
        <f>822*100/1000</f>
        <v>82.2</v>
      </c>
      <c r="L209" s="373">
        <f>822*150/1000</f>
        <v>123.3</v>
      </c>
      <c r="M209" s="373">
        <f>67.85*100/1000</f>
        <v>6.7849999999999993</v>
      </c>
      <c r="N209" s="373">
        <f>67.85*150/1000</f>
        <v>10.1775</v>
      </c>
      <c r="O209" s="374">
        <v>342</v>
      </c>
      <c r="P209" s="326"/>
      <c r="Q209" s="326"/>
      <c r="R209" s="326"/>
      <c r="S209" s="326"/>
    </row>
    <row r="210" spans="1:19" s="327" customFormat="1" ht="12.25" customHeight="1" x14ac:dyDescent="0.3">
      <c r="A210" s="531"/>
      <c r="B210" s="22" t="s">
        <v>310</v>
      </c>
      <c r="C210" s="24">
        <v>60</v>
      </c>
      <c r="D210" s="24">
        <v>60</v>
      </c>
      <c r="E210" s="271">
        <v>12.66</v>
      </c>
      <c r="F210" s="271">
        <v>12.66</v>
      </c>
      <c r="G210" s="271">
        <v>8.16</v>
      </c>
      <c r="H210" s="271">
        <v>8.16</v>
      </c>
      <c r="I210" s="271">
        <v>0</v>
      </c>
      <c r="J210" s="271">
        <v>0</v>
      </c>
      <c r="K210" s="271">
        <v>124</v>
      </c>
      <c r="L210" s="271">
        <v>124</v>
      </c>
      <c r="M210" s="271">
        <v>0</v>
      </c>
      <c r="N210" s="271">
        <v>0</v>
      </c>
      <c r="O210" s="322">
        <v>300</v>
      </c>
      <c r="P210" s="326"/>
      <c r="Q210" s="326"/>
      <c r="R210" s="326"/>
      <c r="S210" s="326"/>
    </row>
    <row r="211" spans="1:19" s="327" customFormat="1" ht="12.25" customHeight="1" x14ac:dyDescent="0.3">
      <c r="A211" s="531"/>
      <c r="B211" s="22" t="s">
        <v>466</v>
      </c>
      <c r="C211" s="24">
        <v>50</v>
      </c>
      <c r="D211" s="24">
        <v>50</v>
      </c>
      <c r="E211" s="271">
        <v>3.95</v>
      </c>
      <c r="F211" s="271">
        <v>3.95</v>
      </c>
      <c r="G211" s="271">
        <v>4.0599999999999996</v>
      </c>
      <c r="H211" s="271">
        <v>4.0599999999999996</v>
      </c>
      <c r="I211" s="271">
        <v>27.24</v>
      </c>
      <c r="J211" s="271">
        <v>27.24</v>
      </c>
      <c r="K211" s="271">
        <v>161</v>
      </c>
      <c r="L211" s="271">
        <v>161</v>
      </c>
      <c r="M211" s="271">
        <v>0</v>
      </c>
      <c r="N211" s="271">
        <v>0</v>
      </c>
      <c r="O211" s="322">
        <v>467</v>
      </c>
      <c r="P211" s="326"/>
      <c r="Q211" s="326"/>
      <c r="R211" s="326"/>
      <c r="S211" s="326"/>
    </row>
    <row r="212" spans="1:19" s="327" customFormat="1" ht="12.25" customHeight="1" x14ac:dyDescent="0.3">
      <c r="A212" s="531"/>
      <c r="B212" s="22" t="s">
        <v>105</v>
      </c>
      <c r="C212" s="24">
        <v>180</v>
      </c>
      <c r="D212" s="24">
        <v>200</v>
      </c>
      <c r="E212" s="271">
        <v>5.48</v>
      </c>
      <c r="F212" s="271">
        <f>5.48*200/180</f>
        <v>6.0888888888888886</v>
      </c>
      <c r="G212" s="271">
        <v>4.88</v>
      </c>
      <c r="H212" s="271">
        <f>4.88*200/180</f>
        <v>5.4222222222222225</v>
      </c>
      <c r="I212" s="271">
        <v>9.07</v>
      </c>
      <c r="J212" s="271">
        <f>9.07*200/180</f>
        <v>10.077777777777778</v>
      </c>
      <c r="K212" s="271">
        <f>85*180/150</f>
        <v>102</v>
      </c>
      <c r="L212" s="271">
        <f>102*200/180</f>
        <v>113.33333333333333</v>
      </c>
      <c r="M212" s="271">
        <f>2.05*180/150</f>
        <v>2.4599999999999995</v>
      </c>
      <c r="N212" s="271">
        <f>2.46*200/180</f>
        <v>2.7333333333333334</v>
      </c>
      <c r="O212" s="322">
        <v>400</v>
      </c>
      <c r="P212" s="372"/>
      <c r="Q212" s="326"/>
      <c r="R212" s="326"/>
      <c r="S212" s="326"/>
    </row>
    <row r="213" spans="1:19" s="327" customFormat="1" ht="12.25" customHeight="1" thickBot="1" x14ac:dyDescent="0.35">
      <c r="A213" s="532"/>
      <c r="B213" s="26" t="s">
        <v>184</v>
      </c>
      <c r="C213" s="31">
        <v>17</v>
      </c>
      <c r="D213" s="31">
        <v>21</v>
      </c>
      <c r="E213" s="360">
        <f>5.6*17/100</f>
        <v>0.95199999999999985</v>
      </c>
      <c r="F213" s="360">
        <f>5.6*21/100</f>
        <v>1.1759999999999999</v>
      </c>
      <c r="G213" s="360">
        <f>1.1*17/100</f>
        <v>0.18700000000000003</v>
      </c>
      <c r="H213" s="360">
        <f>1.1*21/100</f>
        <v>0.23100000000000001</v>
      </c>
      <c r="I213" s="360">
        <f>49.4*17/100</f>
        <v>8.3979999999999997</v>
      </c>
      <c r="J213" s="360">
        <f>49.4*17/100</f>
        <v>8.3979999999999997</v>
      </c>
      <c r="K213" s="360">
        <f>232*17/100</f>
        <v>39.44</v>
      </c>
      <c r="L213" s="360">
        <f>232*21/100</f>
        <v>48.72</v>
      </c>
      <c r="M213" s="360">
        <v>0</v>
      </c>
      <c r="N213" s="360">
        <v>0</v>
      </c>
      <c r="O213" s="361" t="s">
        <v>451</v>
      </c>
      <c r="P213" s="372"/>
      <c r="Q213" s="326"/>
      <c r="R213" s="326"/>
      <c r="S213" s="326"/>
    </row>
    <row r="214" spans="1:19" s="15" customFormat="1" ht="12.25" customHeight="1" thickBot="1" x14ac:dyDescent="0.35">
      <c r="A214" s="397" t="s">
        <v>95</v>
      </c>
      <c r="B214" s="180"/>
      <c r="C214" s="334"/>
      <c r="D214" s="334"/>
      <c r="E214" s="351">
        <f>SUM(E197:E212)</f>
        <v>50.431533333333334</v>
      </c>
      <c r="F214" s="351">
        <f t="shared" ref="F214:N214" si="9">SUM(F197:F212)</f>
        <v>58.677688888888895</v>
      </c>
      <c r="G214" s="351">
        <f t="shared" si="9"/>
        <v>46.782516666666673</v>
      </c>
      <c r="H214" s="351">
        <f t="shared" si="9"/>
        <v>54.467422222222233</v>
      </c>
      <c r="I214" s="351">
        <f t="shared" si="9"/>
        <v>189.98571666666666</v>
      </c>
      <c r="J214" s="351">
        <f t="shared" si="9"/>
        <v>242.89007777777778</v>
      </c>
      <c r="K214" s="351">
        <f t="shared" si="9"/>
        <v>1381.3516666666667</v>
      </c>
      <c r="L214" s="351">
        <f t="shared" si="9"/>
        <v>1700.0966666666666</v>
      </c>
      <c r="M214" s="351">
        <f t="shared" si="9"/>
        <v>48.658066666666663</v>
      </c>
      <c r="N214" s="351">
        <f t="shared" si="9"/>
        <v>55.773333333333333</v>
      </c>
      <c r="O214" s="362"/>
      <c r="P214" s="14"/>
      <c r="Q214" s="14"/>
      <c r="R214" s="14"/>
      <c r="S214" s="14"/>
    </row>
    <row r="215" spans="1:19" s="15" customFormat="1" ht="12.25" customHeight="1" x14ac:dyDescent="0.3">
      <c r="A215" s="187" t="s">
        <v>173</v>
      </c>
      <c r="B215" s="363"/>
      <c r="C215" s="188"/>
      <c r="D215" s="188"/>
      <c r="E215" s="364">
        <f t="shared" ref="E215:N215" si="10">(E214+E192+E171+E127+E108+E87+E24+E150+E67+E46)/10</f>
        <v>51.157262892156858</v>
      </c>
      <c r="F215" s="364">
        <f t="shared" si="10"/>
        <v>64.413968939393925</v>
      </c>
      <c r="G215" s="364">
        <f t="shared" si="10"/>
        <v>47.407090392156853</v>
      </c>
      <c r="H215" s="364">
        <f t="shared" si="10"/>
        <v>58.018499004329009</v>
      </c>
      <c r="I215" s="364">
        <f t="shared" si="10"/>
        <v>186.08900230392157</v>
      </c>
      <c r="J215" s="364">
        <f t="shared" si="10"/>
        <v>231.55141954545451</v>
      </c>
      <c r="K215" s="364">
        <f t="shared" si="10"/>
        <v>1383.8931176470589</v>
      </c>
      <c r="L215" s="364">
        <f t="shared" si="10"/>
        <v>1732.1294646464644</v>
      </c>
      <c r="M215" s="364">
        <f t="shared" si="10"/>
        <v>59.576935784313733</v>
      </c>
      <c r="N215" s="364">
        <f t="shared" si="10"/>
        <v>71.418092878787874</v>
      </c>
      <c r="O215" s="365"/>
      <c r="P215" s="14"/>
      <c r="Q215" s="14"/>
      <c r="R215" s="14"/>
      <c r="S215" s="14"/>
    </row>
    <row r="216" spans="1:19" s="15" customFormat="1" ht="12.25" customHeight="1" x14ac:dyDescent="0.3">
      <c r="A216" s="109" t="s">
        <v>248</v>
      </c>
      <c r="B216" s="366"/>
      <c r="C216" s="108">
        <f>(E215+G215+I215)/6</f>
        <v>47.442225931372548</v>
      </c>
      <c r="D216" s="108">
        <f>(F215+H215+J215)/6</f>
        <v>58.997314581529572</v>
      </c>
      <c r="E216" s="285">
        <f>E215/C216</f>
        <v>1.078306548393372</v>
      </c>
      <c r="F216" s="285">
        <f>F215/D216</f>
        <v>1.0918118798505476</v>
      </c>
      <c r="G216" s="285">
        <f>G215/C216</f>
        <v>0.99925940365305543</v>
      </c>
      <c r="H216" s="285">
        <f>H215/D216</f>
        <v>0.98340915032924225</v>
      </c>
      <c r="I216" s="285">
        <f>I215/C216</f>
        <v>3.9224340479535726</v>
      </c>
      <c r="J216" s="285">
        <f>J215/D216</f>
        <v>3.9247789698202102</v>
      </c>
      <c r="K216" s="367"/>
      <c r="L216" s="367"/>
      <c r="M216" s="367"/>
      <c r="N216" s="367"/>
      <c r="O216" s="368"/>
      <c r="P216" s="14"/>
      <c r="Q216" s="14"/>
      <c r="R216" s="14"/>
      <c r="S216" s="14"/>
    </row>
    <row r="217" spans="1:19" s="15" customFormat="1" ht="12.25" customHeight="1" thickBot="1" x14ac:dyDescent="0.35">
      <c r="A217" s="110" t="s">
        <v>174</v>
      </c>
      <c r="B217" s="369"/>
      <c r="C217" s="111"/>
      <c r="D217" s="111"/>
      <c r="E217" s="164">
        <f>42*85/100</f>
        <v>35.700000000000003</v>
      </c>
      <c r="F217" s="164">
        <f>54*85/100</f>
        <v>45.9</v>
      </c>
      <c r="G217" s="164">
        <f>47*85/100</f>
        <v>39.950000000000003</v>
      </c>
      <c r="H217" s="164">
        <f>60*85/100</f>
        <v>51</v>
      </c>
      <c r="I217" s="164">
        <f>203*85/100</f>
        <v>172.55</v>
      </c>
      <c r="J217" s="164">
        <f>261*85/100</f>
        <v>221.85</v>
      </c>
      <c r="K217" s="164">
        <f>1400*85/100</f>
        <v>1190</v>
      </c>
      <c r="L217" s="164">
        <f>1800*85/100</f>
        <v>1530</v>
      </c>
      <c r="M217" s="164"/>
      <c r="N217" s="164"/>
      <c r="O217" s="370"/>
      <c r="P217" s="20"/>
      <c r="Q217" s="14"/>
      <c r="R217" s="14"/>
      <c r="S217" s="14"/>
    </row>
    <row r="218" spans="1:19" ht="12.25" customHeight="1" thickBot="1" x14ac:dyDescent="0.35">
      <c r="A218" s="179"/>
      <c r="B218" s="180"/>
      <c r="C218" s="181"/>
      <c r="D218" s="182"/>
      <c r="E218" s="371">
        <f>E215/K215*4</f>
        <v>0.14786478013312512</v>
      </c>
      <c r="F218" s="371">
        <f>F215/L215*4</f>
        <v>0.14875093404762585</v>
      </c>
      <c r="G218" s="371">
        <f>G215/K215*9</f>
        <v>0.30830691192022092</v>
      </c>
      <c r="H218" s="371">
        <f>H215/L215*9</f>
        <v>0.30145927408811651</v>
      </c>
      <c r="I218" s="371">
        <f>I215/K215*4</f>
        <v>0.53787102466501535</v>
      </c>
      <c r="J218" s="371">
        <f>J215/L215*4</f>
        <v>0.53472081451536357</v>
      </c>
      <c r="K218" s="136"/>
      <c r="L218" s="136"/>
      <c r="M218" s="136"/>
      <c r="N218" s="136"/>
      <c r="O218" s="352"/>
    </row>
  </sheetData>
  <mergeCells count="144">
    <mergeCell ref="A209:A213"/>
    <mergeCell ref="A132:A136"/>
    <mergeCell ref="A138:A144"/>
    <mergeCell ref="A42:A45"/>
    <mergeCell ref="A104:A107"/>
    <mergeCell ref="A110:A112"/>
    <mergeCell ref="A83:A86"/>
    <mergeCell ref="A77:A82"/>
    <mergeCell ref="A155:A158"/>
    <mergeCell ref="A200:A201"/>
    <mergeCell ref="O173:O175"/>
    <mergeCell ref="A172:O172"/>
    <mergeCell ref="C173:D173"/>
    <mergeCell ref="E153:F153"/>
    <mergeCell ref="C130:D130"/>
    <mergeCell ref="A113:A115"/>
    <mergeCell ref="A123:A126"/>
    <mergeCell ref="K152:L153"/>
    <mergeCell ref="O26:O28"/>
    <mergeCell ref="C26:D26"/>
    <mergeCell ref="E26:J26"/>
    <mergeCell ref="A34:A41"/>
    <mergeCell ref="K26:L27"/>
    <mergeCell ref="M26:N27"/>
    <mergeCell ref="C27:D27"/>
    <mergeCell ref="E27:F27"/>
    <mergeCell ref="G27:H27"/>
    <mergeCell ref="I27:J27"/>
    <mergeCell ref="A26:A28"/>
    <mergeCell ref="A29:A32"/>
    <mergeCell ref="A152:A154"/>
    <mergeCell ref="A25:O25"/>
    <mergeCell ref="A129:A131"/>
    <mergeCell ref="C129:D129"/>
    <mergeCell ref="E129:J129"/>
    <mergeCell ref="K129:L130"/>
    <mergeCell ref="M129:N130"/>
    <mergeCell ref="O110:O112"/>
    <mergeCell ref="O152:O154"/>
    <mergeCell ref="G130:H130"/>
    <mergeCell ref="I130:J130"/>
    <mergeCell ref="E130:F130"/>
    <mergeCell ref="C152:D152"/>
    <mergeCell ref="A117:A122"/>
    <mergeCell ref="A128:O128"/>
    <mergeCell ref="M152:N153"/>
    <mergeCell ref="A151:O151"/>
    <mergeCell ref="A145:A149"/>
    <mergeCell ref="O129:O131"/>
    <mergeCell ref="K110:L111"/>
    <mergeCell ref="G111:H111"/>
    <mergeCell ref="I111:J111"/>
    <mergeCell ref="O89:O91"/>
    <mergeCell ref="A109:O109"/>
    <mergeCell ref="A97:A103"/>
    <mergeCell ref="A89:A91"/>
    <mergeCell ref="M89:N90"/>
    <mergeCell ref="C89:D89"/>
    <mergeCell ref="C90:D90"/>
    <mergeCell ref="M110:N111"/>
    <mergeCell ref="E111:F111"/>
    <mergeCell ref="C111:D111"/>
    <mergeCell ref="E110:J110"/>
    <mergeCell ref="C110:D110"/>
    <mergeCell ref="A13:A19"/>
    <mergeCell ref="M69:N70"/>
    <mergeCell ref="C70:D70"/>
    <mergeCell ref="G49:H49"/>
    <mergeCell ref="I70:J70"/>
    <mergeCell ref="I49:J49"/>
    <mergeCell ref="C69:D69"/>
    <mergeCell ref="E70:F70"/>
    <mergeCell ref="M48:N49"/>
    <mergeCell ref="K48:L49"/>
    <mergeCell ref="A68:O68"/>
    <mergeCell ref="A51:A54"/>
    <mergeCell ref="C48:D48"/>
    <mergeCell ref="E48:J48"/>
    <mergeCell ref="A56:A61"/>
    <mergeCell ref="E49:F49"/>
    <mergeCell ref="C49:D49"/>
    <mergeCell ref="A63:A66"/>
    <mergeCell ref="K69:L70"/>
    <mergeCell ref="A47:O47"/>
    <mergeCell ref="A48:A50"/>
    <mergeCell ref="O48:O50"/>
    <mergeCell ref="O69:O71"/>
    <mergeCell ref="A20:A23"/>
    <mergeCell ref="A1:O1"/>
    <mergeCell ref="A2:O2"/>
    <mergeCell ref="A3:O3"/>
    <mergeCell ref="A8:A11"/>
    <mergeCell ref="K5:L6"/>
    <mergeCell ref="C5:D5"/>
    <mergeCell ref="E5:J5"/>
    <mergeCell ref="A4:O4"/>
    <mergeCell ref="O5:O7"/>
    <mergeCell ref="I6:J6"/>
    <mergeCell ref="A5:A7"/>
    <mergeCell ref="G6:H6"/>
    <mergeCell ref="C6:D6"/>
    <mergeCell ref="M5:N6"/>
    <mergeCell ref="E6:F6"/>
    <mergeCell ref="G70:H70"/>
    <mergeCell ref="A72:A75"/>
    <mergeCell ref="A92:A95"/>
    <mergeCell ref="E69:J69"/>
    <mergeCell ref="E90:F90"/>
    <mergeCell ref="E89:J89"/>
    <mergeCell ref="G90:H90"/>
    <mergeCell ref="I90:J90"/>
    <mergeCell ref="A88:O88"/>
    <mergeCell ref="A69:A71"/>
    <mergeCell ref="K89:L90"/>
    <mergeCell ref="E152:J152"/>
    <mergeCell ref="G174:H174"/>
    <mergeCell ref="I174:J174"/>
    <mergeCell ref="A181:A187"/>
    <mergeCell ref="A176:A179"/>
    <mergeCell ref="G195:H195"/>
    <mergeCell ref="I195:J195"/>
    <mergeCell ref="C153:D153"/>
    <mergeCell ref="A188:A191"/>
    <mergeCell ref="G153:H153"/>
    <mergeCell ref="I153:J153"/>
    <mergeCell ref="M173:N174"/>
    <mergeCell ref="A173:A175"/>
    <mergeCell ref="A160:A166"/>
    <mergeCell ref="E173:J173"/>
    <mergeCell ref="K173:L174"/>
    <mergeCell ref="C174:D174"/>
    <mergeCell ref="E174:F174"/>
    <mergeCell ref="A167:A170"/>
    <mergeCell ref="A202:A208"/>
    <mergeCell ref="A197:A199"/>
    <mergeCell ref="A193:O193"/>
    <mergeCell ref="E195:F195"/>
    <mergeCell ref="K194:L195"/>
    <mergeCell ref="M194:N195"/>
    <mergeCell ref="C195:D195"/>
    <mergeCell ref="A194:A196"/>
    <mergeCell ref="C194:D194"/>
    <mergeCell ref="E194:J194"/>
    <mergeCell ref="O194:O196"/>
  </mergeCells>
  <phoneticPr fontId="2" type="noConversion"/>
  <pageMargins left="0.15" right="0.15" top="0.16" bottom="0.37" header="0.5" footer="0.38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0"/>
  <sheetViews>
    <sheetView workbookViewId="0">
      <selection activeCell="G17" sqref="G17"/>
    </sheetView>
  </sheetViews>
  <sheetFormatPr defaultRowHeight="12.5" x14ac:dyDescent="0.25"/>
  <cols>
    <col min="1" max="1" width="3.81640625" style="11" customWidth="1"/>
    <col min="2" max="2" width="22.54296875" style="11" customWidth="1"/>
    <col min="3" max="4" width="5.453125" style="11" customWidth="1"/>
    <col min="5" max="6" width="8" style="11" customWidth="1"/>
    <col min="7" max="7" width="10.54296875" style="11" customWidth="1"/>
    <col min="8" max="14" width="8" style="11" customWidth="1"/>
    <col min="15" max="15" width="6.7265625" style="17" customWidth="1"/>
    <col min="16" max="16" width="8.7265625" style="17" customWidth="1"/>
    <col min="17" max="17" width="9.1796875" style="196" customWidth="1"/>
  </cols>
  <sheetData>
    <row r="1" spans="1:17" s="3" customFormat="1" ht="13" thickBot="1" x14ac:dyDescent="0.3">
      <c r="A1" s="2"/>
      <c r="B1" s="2" t="s">
        <v>512</v>
      </c>
      <c r="C1" s="2"/>
      <c r="D1" s="2"/>
      <c r="E1" s="2"/>
      <c r="F1" s="2"/>
      <c r="G1" s="2"/>
      <c r="H1" s="2"/>
      <c r="I1" s="2"/>
      <c r="J1" s="2" t="s">
        <v>513</v>
      </c>
      <c r="K1" s="2"/>
      <c r="L1" s="2"/>
      <c r="M1" s="2"/>
      <c r="N1" s="2" t="s">
        <v>510</v>
      </c>
      <c r="O1" s="4"/>
      <c r="P1" s="4"/>
      <c r="Q1" s="10"/>
    </row>
    <row r="2" spans="1:17" s="3" customFormat="1" ht="12.75" customHeight="1" x14ac:dyDescent="0.25">
      <c r="A2" s="115"/>
      <c r="B2" s="12"/>
      <c r="C2" s="7"/>
      <c r="D2" s="544" t="s">
        <v>430</v>
      </c>
      <c r="E2" s="546" t="s">
        <v>108</v>
      </c>
      <c r="F2" s="546"/>
      <c r="G2" s="546"/>
      <c r="H2" s="546"/>
      <c r="I2" s="546"/>
      <c r="J2" s="546"/>
      <c r="K2" s="546"/>
      <c r="L2" s="546"/>
      <c r="M2" s="546"/>
      <c r="N2" s="546"/>
      <c r="O2" s="117" t="s">
        <v>106</v>
      </c>
      <c r="P2" s="541" t="s">
        <v>497</v>
      </c>
      <c r="Q2" s="10"/>
    </row>
    <row r="3" spans="1:17" s="3" customFormat="1" x14ac:dyDescent="0.25">
      <c r="A3" s="116" t="s">
        <v>15</v>
      </c>
      <c r="B3" s="13" t="s">
        <v>16</v>
      </c>
      <c r="C3" s="6" t="s">
        <v>17</v>
      </c>
      <c r="D3" s="545"/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8" t="s">
        <v>107</v>
      </c>
      <c r="P3" s="542"/>
      <c r="Q3" s="10"/>
    </row>
    <row r="4" spans="1:17" s="3" customFormat="1" ht="13" thickBot="1" x14ac:dyDescent="0.3">
      <c r="A4" s="239"/>
      <c r="B4" s="16"/>
      <c r="C4" s="8"/>
      <c r="D4" s="240" t="s">
        <v>48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549"/>
      <c r="P4" s="543"/>
      <c r="Q4" s="10"/>
    </row>
    <row r="5" spans="1:17" s="3" customFormat="1" x14ac:dyDescent="0.25">
      <c r="A5" s="215">
        <v>1</v>
      </c>
      <c r="B5" s="216" t="s">
        <v>18</v>
      </c>
      <c r="C5" s="216" t="s">
        <v>19</v>
      </c>
      <c r="D5" s="238">
        <f>40*85/100</f>
        <v>34</v>
      </c>
      <c r="E5" s="217">
        <f>перерасчет!E45+перерасчет!E59</f>
        <v>34</v>
      </c>
      <c r="F5" s="217">
        <f>перерасчет!D136+перерасчет!D154</f>
        <v>34</v>
      </c>
      <c r="G5" s="217">
        <f>перерасчет!E199+перерасчет!E215</f>
        <v>34</v>
      </c>
      <c r="H5" s="217">
        <f>перерасчет!E255+перерасчет!E267</f>
        <v>34</v>
      </c>
      <c r="I5" s="217">
        <f>перерасчет!E324+перерасчет!E344</f>
        <v>34</v>
      </c>
      <c r="J5" s="217">
        <f>перерасчет!E399+перерасчет!E417</f>
        <v>34</v>
      </c>
      <c r="K5" s="217">
        <f>перерасчет!E485+перерасчет!E508</f>
        <v>34</v>
      </c>
      <c r="L5" s="217">
        <f>перерасчет!E561+перерасчет!E578</f>
        <v>34</v>
      </c>
      <c r="M5" s="217">
        <f>перерасчет!E636+перерасчет!E645</f>
        <v>34</v>
      </c>
      <c r="N5" s="217">
        <f>перерасчет!E702+перерасчет!E737</f>
        <v>34</v>
      </c>
      <c r="O5" s="217">
        <f>SUM(E5:N5)/10</f>
        <v>34</v>
      </c>
      <c r="P5" s="218">
        <f>O5/D5%-100</f>
        <v>0</v>
      </c>
      <c r="Q5" s="10"/>
    </row>
    <row r="6" spans="1:17" s="3" customFormat="1" x14ac:dyDescent="0.25">
      <c r="A6" s="13">
        <v>2</v>
      </c>
      <c r="B6" s="6" t="s">
        <v>20</v>
      </c>
      <c r="C6" s="6" t="s">
        <v>19</v>
      </c>
      <c r="D6" s="235">
        <f>60*85/100</f>
        <v>51</v>
      </c>
      <c r="E6" s="5">
        <f>перерасчет!E10+перерасчет!E44</f>
        <v>44</v>
      </c>
      <c r="F6" s="5">
        <f>перерасчет!D92+перерасчет!D115+перерасчет!D135+перерасчет!D85+перерасчет!D117</f>
        <v>66.582666666666668</v>
      </c>
      <c r="G6" s="5">
        <f>перерасчет!E164+перерасчет!E198</f>
        <v>44</v>
      </c>
      <c r="H6" s="5">
        <f>перерасчет!E223+перерасчет!E254</f>
        <v>44</v>
      </c>
      <c r="I6" s="5">
        <f>перерасчет!E323+перерасчет!E277+перерасчет!E309</f>
        <v>53.166666666666664</v>
      </c>
      <c r="J6" s="5">
        <f>перерасчет!E398+перерасчет!E355</f>
        <v>44</v>
      </c>
      <c r="K6" s="5">
        <f>перерасчет!E437+перерасчет!D484+перерасчет!E429+перерасчет!D429+перерасчет!E468</f>
        <v>64.240000000000009</v>
      </c>
      <c r="L6" s="5">
        <f>перерасчет!E517+перерасчет!E560</f>
        <v>44</v>
      </c>
      <c r="M6" s="5">
        <f>перерасчет!E587+перерасчет!E635</f>
        <v>30</v>
      </c>
      <c r="N6" s="5">
        <f>перерасчет!E653+перерасчет!D685+перерасчет!E701</f>
        <v>56.74</v>
      </c>
      <c r="O6" s="5">
        <f t="shared" ref="O6:O32" si="0">SUM(E6:N6)/10</f>
        <v>49.072933333333332</v>
      </c>
      <c r="P6" s="209">
        <f>O6/D6%-100</f>
        <v>-3.7785620915032752</v>
      </c>
      <c r="Q6" s="10"/>
    </row>
    <row r="7" spans="1:17" s="3" customFormat="1" x14ac:dyDescent="0.25">
      <c r="A7" s="13">
        <v>3</v>
      </c>
      <c r="B7" s="6" t="s">
        <v>21</v>
      </c>
      <c r="C7" s="6" t="s">
        <v>19</v>
      </c>
      <c r="D7" s="235">
        <f>25*85/100</f>
        <v>21.25</v>
      </c>
      <c r="E7" s="5">
        <f>перерасчет!E36+перерасчет!D57+перерасчет!E61+перерасчет!E60</f>
        <v>32.950000000000003</v>
      </c>
      <c r="F7" s="5">
        <f>перерасчет!D78+перерасчет!D88+перерасчет!D129+перерасчет!D149</f>
        <v>12.3</v>
      </c>
      <c r="G7" s="5">
        <f>перерасчет!E190</f>
        <v>3.8</v>
      </c>
      <c r="H7" s="5">
        <f>перерасчет!E257</f>
        <v>3.7</v>
      </c>
      <c r="I7" s="5">
        <f>перерасчет!E294+перерасчет!E295+перерасчет!E318+перерасчет!E272</f>
        <v>30.751999999999999</v>
      </c>
      <c r="J7" s="5">
        <f>перерасчет!E414+перерасчет!E351</f>
        <v>25.05</v>
      </c>
      <c r="K7" s="5" t="e">
        <f>перерасчет!E425+перерасчет!E470+перерасчет!E475+перерасчет!#REF!+перерасчет!E587</f>
        <v>#REF!</v>
      </c>
      <c r="L7" s="5">
        <f>перерасчет!E549+перерасчет!E572+36</f>
        <v>40.125</v>
      </c>
      <c r="M7" s="5">
        <f>перерасчет!E614+перерасчет!E620+перерасчет!E630</f>
        <v>10.833333333333334</v>
      </c>
      <c r="N7" s="5">
        <f>перерасчет!E727+перерасчет!E726+перерасчет!E715</f>
        <v>35.050000000000004</v>
      </c>
      <c r="O7" s="5" t="e">
        <f t="shared" si="0"/>
        <v>#REF!</v>
      </c>
      <c r="P7" s="209" t="e">
        <f>O7/D7%-100</f>
        <v>#REF!</v>
      </c>
      <c r="Q7" s="10"/>
    </row>
    <row r="8" spans="1:17" s="3" customFormat="1" x14ac:dyDescent="0.25">
      <c r="A8" s="13">
        <v>4</v>
      </c>
      <c r="B8" s="6" t="s">
        <v>22</v>
      </c>
      <c r="C8" s="6" t="s">
        <v>19</v>
      </c>
      <c r="D8" s="235">
        <f>2*85/100</f>
        <v>1.7</v>
      </c>
      <c r="E8" s="5">
        <v>0</v>
      </c>
      <c r="F8" s="5">
        <v>0</v>
      </c>
      <c r="G8" s="5">
        <f>перерасчет!E209</f>
        <v>3</v>
      </c>
      <c r="H8" s="5">
        <f>перерасчет!E251</f>
        <v>3.75</v>
      </c>
      <c r="I8" s="5">
        <v>0</v>
      </c>
      <c r="J8" s="5">
        <v>2.7</v>
      </c>
      <c r="K8" s="5">
        <f>0</f>
        <v>0</v>
      </c>
      <c r="L8" s="5">
        <f>перерасчет!E559</f>
        <v>6.75</v>
      </c>
      <c r="M8" s="5">
        <v>0</v>
      </c>
      <c r="N8" s="5">
        <f>0</f>
        <v>0</v>
      </c>
      <c r="O8" s="5">
        <f t="shared" si="0"/>
        <v>1.6199999999999999</v>
      </c>
      <c r="P8" s="209">
        <f>O8/D8%-100</f>
        <v>-4.7058823529411882</v>
      </c>
      <c r="Q8" s="10"/>
    </row>
    <row r="9" spans="1:17" s="3" customFormat="1" x14ac:dyDescent="0.25">
      <c r="A9" s="13">
        <v>5</v>
      </c>
      <c r="B9" s="6" t="s">
        <v>23</v>
      </c>
      <c r="C9" s="6" t="s">
        <v>19</v>
      </c>
      <c r="D9" s="235">
        <f>30*85/100</f>
        <v>25.5</v>
      </c>
      <c r="E9" s="5">
        <f>перерасчет!E40+перерасчет!E28+перерасчет!E6</f>
        <v>78.031999999999996</v>
      </c>
      <c r="F9" s="5">
        <f>0</f>
        <v>0</v>
      </c>
      <c r="G9" s="5">
        <f>перерасчет!E161+перерасчет!E181</f>
        <v>38</v>
      </c>
      <c r="H9" s="5">
        <f>0</f>
        <v>0</v>
      </c>
      <c r="I9" s="5">
        <f>перерасчет!D289</f>
        <v>6.93</v>
      </c>
      <c r="J9" s="5">
        <f>перерасчет!E394</f>
        <v>35</v>
      </c>
      <c r="K9" s="5">
        <f>перерасчет!D487</f>
        <v>19</v>
      </c>
      <c r="L9" s="5">
        <f>перерасчет!G531+перерасчет!F564</f>
        <v>8</v>
      </c>
      <c r="M9" s="5">
        <f>перерасчет!D609+20</f>
        <v>24.166666666666668</v>
      </c>
      <c r="N9" s="5">
        <f>перерасчет!E648</f>
        <v>33.299999999999997</v>
      </c>
      <c r="O9" s="5">
        <f t="shared" si="0"/>
        <v>24.242866666666664</v>
      </c>
      <c r="P9" s="209">
        <f t="shared" ref="P9:P30" si="1">O9/D9%-100</f>
        <v>-4.9299346405228874</v>
      </c>
      <c r="Q9" s="10"/>
    </row>
    <row r="10" spans="1:17" s="3" customFormat="1" x14ac:dyDescent="0.25">
      <c r="A10" s="13">
        <v>6</v>
      </c>
      <c r="B10" s="6" t="s">
        <v>171</v>
      </c>
      <c r="C10" s="6" t="s">
        <v>19</v>
      </c>
      <c r="D10" s="235">
        <f>120*85/100</f>
        <v>102</v>
      </c>
      <c r="E10" s="5">
        <f>перерасчет!E25+перерасчет!E47</f>
        <v>119</v>
      </c>
      <c r="F10" s="5">
        <f>перерасчет!E103+перерасчет!E120</f>
        <v>119.2</v>
      </c>
      <c r="G10" s="5">
        <f>перерасчет!E177+перерасчет!E201</f>
        <v>142</v>
      </c>
      <c r="H10" s="5">
        <f>перерасчет!E230</f>
        <v>21.6</v>
      </c>
      <c r="I10" s="5">
        <f>перерасчет!E329+перерасчет!E284</f>
        <v>42</v>
      </c>
      <c r="J10" s="5">
        <f>перерасчет!E363+перерасчет!E372</f>
        <v>92.25</v>
      </c>
      <c r="K10" s="5">
        <f>перерасчет!E445+перерасчет!E457</f>
        <v>123.6</v>
      </c>
      <c r="L10" s="5">
        <f>перерасчет!E527+перерасчет!E543</f>
        <v>104</v>
      </c>
      <c r="M10" s="5">
        <f>перерасчет!E593</f>
        <v>11.25</v>
      </c>
      <c r="N10" s="5">
        <f>перерасчет!E703+перерасчет!E688+перерасчет!E667</f>
        <v>158.6</v>
      </c>
      <c r="O10" s="5">
        <f t="shared" si="0"/>
        <v>93.35</v>
      </c>
      <c r="P10" s="209">
        <f t="shared" si="1"/>
        <v>-8.4803921568627487</v>
      </c>
      <c r="Q10" s="10"/>
    </row>
    <row r="11" spans="1:17" s="3" customFormat="1" x14ac:dyDescent="0.25">
      <c r="A11" s="13">
        <v>7</v>
      </c>
      <c r="B11" s="6" t="s">
        <v>24</v>
      </c>
      <c r="C11" s="6" t="s">
        <v>19</v>
      </c>
      <c r="D11" s="235">
        <f>180*85/100</f>
        <v>153</v>
      </c>
      <c r="E11" s="5">
        <f>перерасчет!E18+перерасчет!E22+перерасчет!E29+перерасчет!E35+перерасчет!E38+перерасчет!E46+перерасчет!E53+перерасчет!E19+перерасчет!E20+перерасчет!E54</f>
        <v>124.39999999999999</v>
      </c>
      <c r="F11" s="5">
        <f>перерасчет!E98+перерасчет!E99+перерасчет!E100+перерасчет!E107+перерасчет!E108+перерасчет!E109+перерасчет!E110+перерасчет!E125+перерасчет!E126+перерасчет!E138</f>
        <v>192.3</v>
      </c>
      <c r="G11" s="5">
        <v>66.400000000000006</v>
      </c>
      <c r="H11" s="5">
        <f>перерасчет!E227+перерасчет!E247+перерасчет!E248+перерасчет!D234+перерасчет!E229+перерасчет!G235+перерасчет!G236</f>
        <v>103.84</v>
      </c>
      <c r="I11" s="5">
        <f>перерасчет!E288+перерасчет!E289+перерасчет!E290+перерасчет!E291+перерасчет!E300+перерасчет!E301+перерасчет!E312+перерасчет!E314+перерасчет!E315+перерасчет!E316+перерасчет!E317+перерасчет!E333+перерасчет!E334+перерасчет!E335+перерасчет!E336</f>
        <v>235.26600000000002</v>
      </c>
      <c r="J11" s="5">
        <f>перерасчет!E367+перерасчет!E368+перерасчет!E369+перерасчет!E370+перерасчет!E376+перерасчет!E377+перерасчет!E378+перерасчет!E381+перерасчет!E391+перерасчет!E392+перерасчет!E393</f>
        <v>59.44</v>
      </c>
      <c r="K11" s="5">
        <f>перерасчет!E442+перерасчет!E444+перерасчет!E449+перерасчет!E450+перерасчет!E453+перерасчет!E480+перерасчет!E488+перерасчет!E493+перерасчет!E494+перерасчет!E495+перерасчет!E496+перерасчет!E478</f>
        <v>151.73000000000002</v>
      </c>
      <c r="L11" s="5">
        <f>перерасчет!E523+перерасчет!E533+перерасчет!E534+перерасчет!E535+перерасчет!E542+перерасчет!E547+перерасчет!E548+перерасчет!E550+перерасчет!E562+перерасчет!E565+перерасчет!E574</f>
        <v>131.4</v>
      </c>
      <c r="M11" s="5" t="e">
        <f>перерасчет!E597+перерасчет!E598+перерасчет!E599+перерасчет!#REF!+перерасчет!E605+перерасчет!E622+перерасчет!E624+перерасчет!E627+перерасчет!E628+перерасчет!E629+перерасчет!E611</f>
        <v>#REF!</v>
      </c>
      <c r="N11" s="5">
        <f>перерасчет!E660+перерасчет!E662+перерасчет!E666+перерасчет!E671+перерасчет!E672+перерасчет!E673+перерасчет!E681+перерасчет!E682+перерасчет!E706+перерасчет!E707+перерасчет!E708+перерасчет!E709+перерасчет!E710+перерасчет!E711+перерасчет!E716+перерасчет!E717+перерасчет!E718+перерасчет!E719+перерасчет!E663</f>
        <v>160.85000000000002</v>
      </c>
      <c r="O11" s="5" t="e">
        <f t="shared" si="0"/>
        <v>#REF!</v>
      </c>
      <c r="P11" s="209" t="e">
        <f t="shared" si="1"/>
        <v>#REF!</v>
      </c>
      <c r="Q11" s="10"/>
    </row>
    <row r="12" spans="1:17" s="3" customFormat="1" x14ac:dyDescent="0.25">
      <c r="A12" s="13">
        <v>8</v>
      </c>
      <c r="B12" s="6" t="s">
        <v>25</v>
      </c>
      <c r="C12" s="6" t="s">
        <v>19</v>
      </c>
      <c r="D12" s="235">
        <f>95*85/100</f>
        <v>80.75</v>
      </c>
      <c r="E12" s="5">
        <f>перерасчет!E73+перерасчет!E74</f>
        <v>0</v>
      </c>
      <c r="F12" s="5">
        <f>перерасчет!E97+перерасчет!D132</f>
        <v>110</v>
      </c>
      <c r="G12" s="5">
        <v>0</v>
      </c>
      <c r="H12" s="5">
        <f>перерасчет!E226</f>
        <v>150</v>
      </c>
      <c r="I12" s="5">
        <f>перерасчет!G343</f>
        <v>0</v>
      </c>
      <c r="J12" s="5">
        <f>перерасчет!D395+40</f>
        <v>74.05</v>
      </c>
      <c r="K12" s="5">
        <f>перерасчет!E481+перерасчет!E441+перерасчет!E431</f>
        <v>131.75</v>
      </c>
      <c r="L12" s="5">
        <f>перерасчет!E553</f>
        <v>15</v>
      </c>
      <c r="M12" s="5">
        <f>перерасчет!E592</f>
        <v>150</v>
      </c>
      <c r="N12" s="5">
        <f>перерасчет!E659</f>
        <v>95</v>
      </c>
      <c r="O12" s="5">
        <f t="shared" si="0"/>
        <v>72.58</v>
      </c>
      <c r="P12" s="209">
        <f t="shared" si="1"/>
        <v>-10.117647058823536</v>
      </c>
      <c r="Q12" s="10"/>
    </row>
    <row r="13" spans="1:17" s="3" customFormat="1" x14ac:dyDescent="0.25">
      <c r="A13" s="13">
        <v>9</v>
      </c>
      <c r="B13" s="6" t="s">
        <v>26</v>
      </c>
      <c r="C13" s="6" t="s">
        <v>19</v>
      </c>
      <c r="D13" s="235">
        <f>9*85/100</f>
        <v>7.65</v>
      </c>
      <c r="E13" s="5">
        <f>перерасчет!E42</f>
        <v>15</v>
      </c>
      <c r="F13" s="5">
        <f>перерасчет!E81</f>
        <v>9</v>
      </c>
      <c r="G13" s="5">
        <f>перерасчет!D195</f>
        <v>10</v>
      </c>
      <c r="H13" s="5">
        <f>0</f>
        <v>0</v>
      </c>
      <c r="I13" s="5">
        <f>перерасчет!E320-4</f>
        <v>11</v>
      </c>
      <c r="J13" s="5">
        <f>0</f>
        <v>0</v>
      </c>
      <c r="K13" s="5">
        <f>0</f>
        <v>0</v>
      </c>
      <c r="L13" s="5">
        <f>0</f>
        <v>0</v>
      </c>
      <c r="M13" s="5">
        <f>перерасчет!E632</f>
        <v>10</v>
      </c>
      <c r="N13" s="5">
        <v>15</v>
      </c>
      <c r="O13" s="5">
        <f t="shared" si="0"/>
        <v>7</v>
      </c>
      <c r="P13" s="209">
        <f t="shared" si="1"/>
        <v>-8.4967320261437891</v>
      </c>
      <c r="Q13" s="10"/>
    </row>
    <row r="14" spans="1:17" s="3" customFormat="1" x14ac:dyDescent="0.25">
      <c r="A14" s="13">
        <v>10</v>
      </c>
      <c r="B14" s="6" t="s">
        <v>27</v>
      </c>
      <c r="C14" s="6" t="s">
        <v>19</v>
      </c>
      <c r="D14" s="235">
        <f>12*85/100</f>
        <v>10.199999999999999</v>
      </c>
      <c r="E14" s="5">
        <v>0</v>
      </c>
      <c r="F14" s="5">
        <f>0</f>
        <v>0</v>
      </c>
      <c r="G14" s="5">
        <f>0</f>
        <v>0</v>
      </c>
      <c r="H14" s="5">
        <f>перерасчет!E265</f>
        <v>20</v>
      </c>
      <c r="I14" s="5">
        <f>перерасчет!E342</f>
        <v>15</v>
      </c>
      <c r="J14" s="5">
        <f>перерасчет!E420</f>
        <v>12</v>
      </c>
      <c r="K14" s="5">
        <f>перерасчет!E498</f>
        <v>12</v>
      </c>
      <c r="L14" s="5">
        <f>перерасчет!E576</f>
        <v>0</v>
      </c>
      <c r="M14" s="5">
        <f>перерасчет!E644</f>
        <v>20</v>
      </c>
      <c r="N14" s="5">
        <v>0</v>
      </c>
      <c r="O14" s="5">
        <f t="shared" si="0"/>
        <v>7.9</v>
      </c>
      <c r="P14" s="209">
        <f t="shared" si="1"/>
        <v>-22.549019607843135</v>
      </c>
      <c r="Q14" s="10"/>
    </row>
    <row r="15" spans="1:17" s="3" customFormat="1" x14ac:dyDescent="0.25">
      <c r="A15" s="13">
        <v>11</v>
      </c>
      <c r="B15" s="6" t="s">
        <v>28</v>
      </c>
      <c r="C15" s="6" t="s">
        <v>19</v>
      </c>
      <c r="D15" s="235">
        <f>25*85/100</f>
        <v>21.25</v>
      </c>
      <c r="E15" s="5">
        <f>перерасчет!E7+перерасчет!E14+перерасчет!E43+перерасчет!E62-10</f>
        <v>24.35</v>
      </c>
      <c r="F15" s="5">
        <f>перерасчет!E80+перерасчет!E90+перерасчет!E133+перерасчет!E95</f>
        <v>31.6</v>
      </c>
      <c r="G15" s="5">
        <f>перерасчет!E162+перерасчет!E167+перерасчет!E196+перерасчет!E191</f>
        <v>58.75</v>
      </c>
      <c r="H15" s="5">
        <f>перерасчет!E252+перерасчет!E260</f>
        <v>23</v>
      </c>
      <c r="I15" s="5">
        <f>перерасчет!E274+перерасчет!E281+перерасчет!E321+перерасчет!E319</f>
        <v>23</v>
      </c>
      <c r="J15" s="5">
        <f>перерасчет!E352+перерасчет!E359+перерасчет!E396</f>
        <v>28</v>
      </c>
      <c r="K15" s="5">
        <f>перерасчет!E432+перерасчет!E426+перерасчет!E440+перерасчет!E454+перерасчет!E482-20</f>
        <v>14.649999999999999</v>
      </c>
      <c r="L15" s="5">
        <f>перерасчет!E558</f>
        <v>15</v>
      </c>
      <c r="M15" s="5">
        <f>перерасчет!E631+перерасчет!E634</f>
        <v>11</v>
      </c>
      <c r="N15" s="5">
        <f>перерасчет!D652+перерасчет!D657+перерасчет!D665+перерасчет!D675+перерасчет!D699+перерасчет!D721+перерасчет!D731</f>
        <v>27.74</v>
      </c>
      <c r="O15" s="5">
        <f t="shared" si="0"/>
        <v>25.708999999999996</v>
      </c>
      <c r="P15" s="209">
        <f t="shared" si="1"/>
        <v>20.983529411764692</v>
      </c>
      <c r="Q15" s="10"/>
    </row>
    <row r="16" spans="1:17" s="3" customFormat="1" x14ac:dyDescent="0.25">
      <c r="A16" s="13">
        <v>12</v>
      </c>
      <c r="B16" s="6" t="s">
        <v>29</v>
      </c>
      <c r="C16" s="6" t="s">
        <v>19</v>
      </c>
      <c r="D16" s="235">
        <f>18*85/100</f>
        <v>15.3</v>
      </c>
      <c r="E16" s="5">
        <f>перерасчет!E8+перерасчет!E41+перерасчет!E55+перерасчет!E63</f>
        <v>14.895</v>
      </c>
      <c r="F16" s="5">
        <f>перерасчет!E87+перерасчет!E119+перерасчет!E141+перерасчет!E148+перерасчет!E152+перерасчет!E83</f>
        <v>20.399999999999999</v>
      </c>
      <c r="G16" s="5">
        <v>16.899999999999999</v>
      </c>
      <c r="H16" s="5">
        <f>перерасчет!E220+перерасчет!E222+перерасчет!E249+перерасчет!E224-20</f>
        <v>0.5</v>
      </c>
      <c r="I16" s="5">
        <f>перерасчет!E273+перерасчет!E311</f>
        <v>6.666666666666667</v>
      </c>
      <c r="J16" s="5">
        <f>перерасчет!E354+перерасчет!E356+перерасчет!E401+перерасчет!E410+перерасчет!E413</f>
        <v>14.95</v>
      </c>
      <c r="K16" s="5">
        <f>перерасчет!E428+перерасчет!E463+перерасчет!E479+перерасчет!E489</f>
        <v>12.5</v>
      </c>
      <c r="L16" s="5">
        <f>перерасчет!E513+перерасчет!E517+перерасчет!E551</f>
        <v>34.174999999999997</v>
      </c>
      <c r="M16" s="5">
        <f>перерасчет!E585+перерасчет!E612+перерасчет!E616+перерасчет!E642</f>
        <v>13.333333333333334</v>
      </c>
      <c r="N16" s="5">
        <f>перерасчет!E651+перерасчет!E694+перерасчет!E720+перерасчет!E729+перерасчет!E714+перерасчет!E687</f>
        <v>17</v>
      </c>
      <c r="O16" s="5">
        <f t="shared" si="0"/>
        <v>15.132</v>
      </c>
      <c r="P16" s="209">
        <f t="shared" si="1"/>
        <v>-1.0980392156862706</v>
      </c>
      <c r="Q16" s="10"/>
    </row>
    <row r="17" spans="1:17" s="3" customFormat="1" x14ac:dyDescent="0.25">
      <c r="A17" s="13">
        <v>13</v>
      </c>
      <c r="B17" s="6" t="s">
        <v>30</v>
      </c>
      <c r="C17" s="6" t="s">
        <v>19</v>
      </c>
      <c r="D17" s="235">
        <f>9*85/100</f>
        <v>7.65</v>
      </c>
      <c r="E17" s="5">
        <f>перерасчет!E31+перерасчет!E34+перерасчет!E69+перерасчет!E21</f>
        <v>5.663333333333334</v>
      </c>
      <c r="F17" s="5">
        <f>перерасчет!E102+перерасчет!E111+перерасчет!E118+перерасчет!E124+перерасчет!E145</f>
        <v>12.333333333333334</v>
      </c>
      <c r="G17" s="5">
        <f>перерасчет!E183+перерасчет!E208</f>
        <v>4</v>
      </c>
      <c r="H17" s="5">
        <f>перерасчет!E259+перерасчет!E228+перерасчет!E237</f>
        <v>10.33</v>
      </c>
      <c r="I17" s="5">
        <f>перерасчет!E302+перерасчет!E313+перерасчет!E338+перерасчет!E292-3</f>
        <v>8.5</v>
      </c>
      <c r="J17" s="5">
        <f>перерасчет!E379+перерасчет!E371</f>
        <v>4.25</v>
      </c>
      <c r="K17" s="5">
        <f>перерасчет!E443+перерасчет!E452+перерасчет!E471+перерасчет!E497</f>
        <v>7.3249999999999993</v>
      </c>
      <c r="L17" s="5">
        <f>перерасчет!E515+перерасчет!E536+перерасчет!E566-5</f>
        <v>5.8000000000000007</v>
      </c>
      <c r="M17" s="5">
        <f>перерасчет!E601+перерасчет!E625</f>
        <v>8.6999999999999993</v>
      </c>
      <c r="N17" s="5">
        <f>перерасчет!E664+перерасчет!E674+перерасчет!E686</f>
        <v>7.1</v>
      </c>
      <c r="O17" s="5">
        <f t="shared" si="0"/>
        <v>7.4001666666666663</v>
      </c>
      <c r="P17" s="209">
        <f t="shared" si="1"/>
        <v>-3.2657952069716742</v>
      </c>
      <c r="Q17" s="10"/>
    </row>
    <row r="18" spans="1:17" s="3" customFormat="1" x14ac:dyDescent="0.25">
      <c r="A18" s="13">
        <v>14</v>
      </c>
      <c r="B18" s="6" t="s">
        <v>31</v>
      </c>
      <c r="C18" s="6" t="s">
        <v>19</v>
      </c>
      <c r="D18" s="235">
        <f>0.5*85/100</f>
        <v>0.42499999999999999</v>
      </c>
      <c r="E18" s="5">
        <f t="shared" ref="E18:O18" si="2">0.5*85/100</f>
        <v>0.42499999999999999</v>
      </c>
      <c r="F18" s="5">
        <f t="shared" si="2"/>
        <v>0.42499999999999999</v>
      </c>
      <c r="G18" s="5">
        <f t="shared" si="2"/>
        <v>0.42499999999999999</v>
      </c>
      <c r="H18" s="5">
        <f t="shared" si="2"/>
        <v>0.42499999999999999</v>
      </c>
      <c r="I18" s="5">
        <f t="shared" si="2"/>
        <v>0.42499999999999999</v>
      </c>
      <c r="J18" s="5">
        <f t="shared" si="2"/>
        <v>0.42499999999999999</v>
      </c>
      <c r="K18" s="5">
        <f t="shared" si="2"/>
        <v>0.42499999999999999</v>
      </c>
      <c r="L18" s="5">
        <f t="shared" si="2"/>
        <v>0.42499999999999999</v>
      </c>
      <c r="M18" s="5">
        <f t="shared" si="2"/>
        <v>0.42499999999999999</v>
      </c>
      <c r="N18" s="5">
        <f t="shared" si="2"/>
        <v>0.42499999999999999</v>
      </c>
      <c r="O18" s="5">
        <f t="shared" si="2"/>
        <v>0.42499999999999999</v>
      </c>
      <c r="P18" s="209">
        <f t="shared" si="1"/>
        <v>0</v>
      </c>
      <c r="Q18" s="10"/>
    </row>
    <row r="19" spans="1:17" s="3" customFormat="1" x14ac:dyDescent="0.25">
      <c r="A19" s="13">
        <v>15</v>
      </c>
      <c r="B19" s="6" t="s">
        <v>32</v>
      </c>
      <c r="C19" s="6" t="s">
        <v>19</v>
      </c>
      <c r="D19" s="236">
        <f>50*85/100</f>
        <v>42.5</v>
      </c>
      <c r="E19" s="5">
        <f>перерасчет!E33-20</f>
        <v>60.833333333333329</v>
      </c>
      <c r="F19" s="5">
        <f>перерасчет!E114</f>
        <v>36.666666666666664</v>
      </c>
      <c r="G19" s="5">
        <f>перерасчет!E186</f>
        <v>80</v>
      </c>
      <c r="H19" s="5">
        <f>перерасчет!E246</f>
        <v>80.833333333333329</v>
      </c>
      <c r="I19" s="5">
        <v>0</v>
      </c>
      <c r="J19" s="5">
        <f>перерасчет!E380</f>
        <v>22.8</v>
      </c>
      <c r="K19" s="5">
        <f>перерасчет!E455</f>
        <v>16</v>
      </c>
      <c r="L19" s="5">
        <f>перерасчет!E540+перерасчет!E563</f>
        <v>102.5</v>
      </c>
      <c r="M19" s="5">
        <f>перерасчет!E608</f>
        <v>31.666666666666668</v>
      </c>
      <c r="N19" s="5">
        <f>0</f>
        <v>0</v>
      </c>
      <c r="O19" s="5">
        <f t="shared" si="0"/>
        <v>43.13</v>
      </c>
      <c r="P19" s="209">
        <f t="shared" si="1"/>
        <v>1.4823529411764724</v>
      </c>
      <c r="Q19" s="10"/>
    </row>
    <row r="20" spans="1:17" s="3" customFormat="1" x14ac:dyDescent="0.25">
      <c r="A20" s="13">
        <v>16</v>
      </c>
      <c r="B20" s="6" t="s">
        <v>33</v>
      </c>
      <c r="C20" s="6" t="s">
        <v>19</v>
      </c>
      <c r="D20" s="235">
        <f>32*85/100</f>
        <v>27.2</v>
      </c>
      <c r="E20" s="5">
        <f>перерасчет!D23*2</f>
        <v>48</v>
      </c>
      <c r="F20" s="5">
        <v>0</v>
      </c>
      <c r="G20" s="107">
        <f>перерасчет!D200</f>
        <v>0</v>
      </c>
      <c r="H20" s="5">
        <f>0</f>
        <v>0</v>
      </c>
      <c r="I20" s="5">
        <f>перерасчет!E325</f>
        <v>37</v>
      </c>
      <c r="J20" s="5">
        <f>перерасчет!E403</f>
        <v>49</v>
      </c>
      <c r="K20" s="5">
        <f>перерасчет!E465</f>
        <v>41</v>
      </c>
      <c r="L20" s="5">
        <v>0</v>
      </c>
      <c r="M20" s="5">
        <v>0</v>
      </c>
      <c r="N20" s="5">
        <f>перерасчет!E677</f>
        <v>59.5</v>
      </c>
      <c r="O20" s="5">
        <f t="shared" si="0"/>
        <v>23.45</v>
      </c>
      <c r="P20" s="209">
        <f t="shared" si="1"/>
        <v>-13.786764705882362</v>
      </c>
      <c r="Q20" s="10"/>
    </row>
    <row r="21" spans="1:17" s="3" customFormat="1" x14ac:dyDescent="0.25">
      <c r="A21" s="13">
        <v>17</v>
      </c>
      <c r="B21" s="6" t="s">
        <v>222</v>
      </c>
      <c r="C21" s="6" t="s">
        <v>19</v>
      </c>
      <c r="D21" s="235">
        <f>390*85/100</f>
        <v>331.5</v>
      </c>
      <c r="E21" s="5">
        <f>перерасчет!D3+перерасчет!D71+перерасчет!E15+перерасчет!E5</f>
        <v>439.20000000000005</v>
      </c>
      <c r="F21" s="5">
        <f>перерасчет!E153+перерасчет!E147+перерасчет!E86+перерасчет!G116+перерасчет!G96</f>
        <v>250.25</v>
      </c>
      <c r="G21" s="5">
        <f>перерасчет!E158+перерасчет!E168+перерасчет!E212</f>
        <v>201.39999999999998</v>
      </c>
      <c r="H21" s="5">
        <f>перерасчет!E219+перерасчет!E225+перерасчет!E266</f>
        <v>184.32499999999999</v>
      </c>
      <c r="I21" s="5">
        <f>перерасчет!E271+перерасчет!E282+перерасчет!E310</f>
        <v>249.93333333333334</v>
      </c>
      <c r="J21" s="5">
        <f>перерасчет!E348+перерасчет!E360+перерасчет!E408+перерасчет!E412+перерасчет!E350</f>
        <v>363.40999999999997</v>
      </c>
      <c r="K21" s="5">
        <f>перерасчет!E507+перерасчет!E469+перерасчет!E461</f>
        <v>184</v>
      </c>
      <c r="L21" s="5">
        <f>перерасчет!E520+перерасчет!E577+перерасчет!E512</f>
        <v>221.125</v>
      </c>
      <c r="M21" s="5">
        <f>перерасчет!E583+перерасчет!E591+перерасчет!E643</f>
        <v>171.2</v>
      </c>
      <c r="N21" s="5">
        <f>перерасчет!E649+перерасчет!E658+перерасчет!E683+перерасчет!E692+перерасчет!E692+перерасчет!E738</f>
        <v>404</v>
      </c>
      <c r="O21" s="5">
        <f t="shared" si="0"/>
        <v>266.8843333333333</v>
      </c>
      <c r="P21" s="209">
        <f t="shared" si="1"/>
        <v>-19.491905480140787</v>
      </c>
      <c r="Q21" s="10"/>
    </row>
    <row r="22" spans="1:17" s="3" customFormat="1" x14ac:dyDescent="0.25">
      <c r="A22" s="13">
        <v>18</v>
      </c>
      <c r="B22" s="6" t="s">
        <v>35</v>
      </c>
      <c r="C22" s="6" t="s">
        <v>19</v>
      </c>
      <c r="D22" s="235">
        <f>30*85/100</f>
        <v>25.5</v>
      </c>
      <c r="E22" s="5">
        <v>0</v>
      </c>
      <c r="F22" s="5">
        <f>перерасчет!E77</f>
        <v>67.5</v>
      </c>
      <c r="G22" s="5">
        <v>0</v>
      </c>
      <c r="H22" s="5">
        <f>перерасчет!E256</f>
        <v>45</v>
      </c>
      <c r="I22" s="5">
        <v>0</v>
      </c>
      <c r="J22" s="5">
        <v>0</v>
      </c>
      <c r="K22" s="5">
        <f>перерасчет!E424</f>
        <v>92</v>
      </c>
      <c r="L22" s="5">
        <v>0</v>
      </c>
      <c r="M22" s="5">
        <f>перерасчет!E637</f>
        <v>46.74</v>
      </c>
      <c r="N22" s="5">
        <v>0</v>
      </c>
      <c r="O22" s="5">
        <f t="shared" si="0"/>
        <v>25.124000000000002</v>
      </c>
      <c r="P22" s="209">
        <f t="shared" si="1"/>
        <v>-1.4745098039215634</v>
      </c>
      <c r="Q22" s="10"/>
    </row>
    <row r="23" spans="1:17" x14ac:dyDescent="0.25">
      <c r="A23" s="13">
        <v>19</v>
      </c>
      <c r="B23" s="6" t="s">
        <v>36</v>
      </c>
      <c r="C23" s="6" t="s">
        <v>19</v>
      </c>
      <c r="D23" s="235">
        <f>9*85/100</f>
        <v>7.65</v>
      </c>
      <c r="E23" s="5">
        <f>перерасчет!E56</f>
        <v>7.5</v>
      </c>
      <c r="F23" s="5">
        <f>перерасчет!E84+перерасчет!E113+перерасчет!E128</f>
        <v>19.600000000000001</v>
      </c>
      <c r="G23" s="5">
        <f>0</f>
        <v>0</v>
      </c>
      <c r="H23" s="5">
        <f>0</f>
        <v>0</v>
      </c>
      <c r="I23" s="5">
        <v>0</v>
      </c>
      <c r="J23" s="5">
        <v>0</v>
      </c>
      <c r="K23" s="5">
        <f>перерасчет!E430+перерасчет!E456+перерасчет!E474</f>
        <v>17.375</v>
      </c>
      <c r="L23" s="5">
        <f>перерасчет!E571</f>
        <v>3.75</v>
      </c>
      <c r="M23" s="5">
        <f>перерасчет!E619</f>
        <v>15</v>
      </c>
      <c r="N23" s="5">
        <f>перерасчет!E676</f>
        <v>10</v>
      </c>
      <c r="O23" s="5">
        <f t="shared" si="0"/>
        <v>7.3224999999999998</v>
      </c>
      <c r="P23" s="209">
        <f t="shared" si="1"/>
        <v>-4.2810457516339824</v>
      </c>
      <c r="Q23" s="194"/>
    </row>
    <row r="24" spans="1:17" x14ac:dyDescent="0.25">
      <c r="A24" s="13">
        <v>20</v>
      </c>
      <c r="B24" s="6" t="s">
        <v>37</v>
      </c>
      <c r="C24" s="6" t="s">
        <v>19</v>
      </c>
      <c r="D24" s="235">
        <f>4*85/100</f>
        <v>3.4</v>
      </c>
      <c r="E24" s="5">
        <f>перерасчет!E11</f>
        <v>0</v>
      </c>
      <c r="F24" s="5">
        <v>0</v>
      </c>
      <c r="G24" s="5">
        <f>перерасчет!E165</f>
        <v>5</v>
      </c>
      <c r="H24" s="5">
        <f>перерасчет!E221-5</f>
        <v>7.9</v>
      </c>
      <c r="I24" s="5">
        <f>перерасчет!E278</f>
        <v>5</v>
      </c>
      <c r="J24" s="5">
        <f>перерасчет!E357-5</f>
        <v>-5</v>
      </c>
      <c r="K24" s="5">
        <f>0</f>
        <v>0</v>
      </c>
      <c r="L24" s="5">
        <f>перерасчет!E518</f>
        <v>5</v>
      </c>
      <c r="M24" s="5">
        <v>0</v>
      </c>
      <c r="N24" s="5">
        <f>0</f>
        <v>0</v>
      </c>
      <c r="O24" s="5">
        <f t="shared" si="0"/>
        <v>1.7899999999999998</v>
      </c>
      <c r="P24" s="209">
        <f t="shared" si="1"/>
        <v>-47.352941176470594</v>
      </c>
      <c r="Q24" s="194"/>
    </row>
    <row r="25" spans="1:17" s="3" customFormat="1" x14ac:dyDescent="0.25">
      <c r="A25" s="13">
        <v>21</v>
      </c>
      <c r="B25" s="6" t="s">
        <v>38</v>
      </c>
      <c r="C25" s="6" t="s">
        <v>39</v>
      </c>
      <c r="D25" s="235">
        <f>40*85/100</f>
        <v>34</v>
      </c>
      <c r="E25" s="5">
        <f>+перерасчет!E67+перерасчет!E70</f>
        <v>1.46</v>
      </c>
      <c r="F25" s="5">
        <f>перерасчет!E79+перерасчет!E144</f>
        <v>14.5</v>
      </c>
      <c r="G25" s="5">
        <f>0</f>
        <v>0</v>
      </c>
      <c r="H25" s="5">
        <f>перерасчет!E258+перерасчет!E218</f>
        <v>92.8</v>
      </c>
      <c r="I25" s="5">
        <f>перерасчет!E296+перерасчет!E337</f>
        <v>9</v>
      </c>
      <c r="J25" s="5">
        <f>перерасчет!E382+перерасчет!E409</f>
        <v>6.6</v>
      </c>
      <c r="K25" s="5">
        <f>перерасчет!E427+перерасчет!E490+перерасчет!E491+перерасчет!E501</f>
        <v>15.725</v>
      </c>
      <c r="L25" s="5">
        <f>перерасчет!E568+перерасчет!E511</f>
        <v>114.5</v>
      </c>
      <c r="M25" s="5">
        <f>перерасчет!E604+перерасчет!E607+перерасчет!E640</f>
        <v>46</v>
      </c>
      <c r="N25" s="5">
        <f>перерасчет!E684+перерасчет!E730+перерасчет!E731</f>
        <v>7.9285714285714288</v>
      </c>
      <c r="O25" s="5">
        <f t="shared" si="0"/>
        <v>30.851357142857143</v>
      </c>
      <c r="P25" s="209">
        <f t="shared" si="1"/>
        <v>-9.2607142857142861</v>
      </c>
      <c r="Q25" s="10"/>
    </row>
    <row r="26" spans="1:17" x14ac:dyDescent="0.25">
      <c r="A26" s="13">
        <v>22</v>
      </c>
      <c r="B26" s="6" t="s">
        <v>40</v>
      </c>
      <c r="C26" s="6" t="s">
        <v>19</v>
      </c>
      <c r="D26" s="235">
        <f>1.5*85/100</f>
        <v>1.2749999999999999</v>
      </c>
      <c r="E26" s="5">
        <f>перерасчет!E13</f>
        <v>2</v>
      </c>
      <c r="F26" s="5">
        <f>0</f>
        <v>0</v>
      </c>
      <c r="G26" s="5">
        <f>перерасчет!E166</f>
        <v>2</v>
      </c>
      <c r="H26" s="5">
        <v>0</v>
      </c>
      <c r="I26" s="5">
        <v>0</v>
      </c>
      <c r="J26" s="5">
        <f>перерасчет!E358</f>
        <v>2</v>
      </c>
      <c r="K26" s="5">
        <v>3</v>
      </c>
      <c r="L26" s="5">
        <f>перерасчет!E519</f>
        <v>2</v>
      </c>
      <c r="M26" s="5">
        <f>перерасчет!E588</f>
        <v>2</v>
      </c>
      <c r="N26" s="5">
        <v>0</v>
      </c>
      <c r="O26" s="5">
        <f t="shared" si="0"/>
        <v>1.3</v>
      </c>
      <c r="P26" s="209">
        <f t="shared" si="1"/>
        <v>1.9607843137254974</v>
      </c>
      <c r="Q26" s="194"/>
    </row>
    <row r="27" spans="1:17" x14ac:dyDescent="0.25">
      <c r="A27" s="13">
        <v>23</v>
      </c>
      <c r="B27" s="6" t="s">
        <v>41</v>
      </c>
      <c r="C27" s="6" t="s">
        <v>19</v>
      </c>
      <c r="D27" s="235">
        <f>3*85/100</f>
        <v>2.5499999999999998</v>
      </c>
      <c r="E27" s="5">
        <v>2.6</v>
      </c>
      <c r="F27" s="5">
        <v>2.6</v>
      </c>
      <c r="G27" s="5">
        <v>2.6</v>
      </c>
      <c r="H27" s="5">
        <v>2.6</v>
      </c>
      <c r="I27" s="5">
        <v>2.6</v>
      </c>
      <c r="J27" s="5">
        <v>2.6</v>
      </c>
      <c r="K27" s="5">
        <v>2.6</v>
      </c>
      <c r="L27" s="5">
        <v>2.6</v>
      </c>
      <c r="M27" s="5">
        <v>2.6</v>
      </c>
      <c r="N27" s="5">
        <v>2.6</v>
      </c>
      <c r="O27" s="5">
        <f t="shared" si="0"/>
        <v>2.6000000000000005</v>
      </c>
      <c r="P27" s="209">
        <f t="shared" si="1"/>
        <v>1.9607843137255117</v>
      </c>
      <c r="Q27" s="194"/>
    </row>
    <row r="28" spans="1:17" x14ac:dyDescent="0.25">
      <c r="A28" s="13">
        <v>24</v>
      </c>
      <c r="B28" s="6" t="s">
        <v>42</v>
      </c>
      <c r="C28" s="6" t="s">
        <v>19</v>
      </c>
      <c r="D28" s="235">
        <f>0.4*85/100</f>
        <v>0.34</v>
      </c>
      <c r="E28" s="5">
        <f t="shared" ref="E28:O28" si="3">0.4*85/100</f>
        <v>0.34</v>
      </c>
      <c r="F28" s="5">
        <f t="shared" si="3"/>
        <v>0.34</v>
      </c>
      <c r="G28" s="5">
        <f t="shared" si="3"/>
        <v>0.34</v>
      </c>
      <c r="H28" s="5">
        <f t="shared" si="3"/>
        <v>0.34</v>
      </c>
      <c r="I28" s="5">
        <f t="shared" si="3"/>
        <v>0.34</v>
      </c>
      <c r="J28" s="5">
        <f t="shared" si="3"/>
        <v>0.34</v>
      </c>
      <c r="K28" s="5">
        <f t="shared" si="3"/>
        <v>0.34</v>
      </c>
      <c r="L28" s="5">
        <f t="shared" si="3"/>
        <v>0.34</v>
      </c>
      <c r="M28" s="5">
        <f t="shared" si="3"/>
        <v>0.34</v>
      </c>
      <c r="N28" s="5">
        <f t="shared" si="3"/>
        <v>0.34</v>
      </c>
      <c r="O28" s="5">
        <f t="shared" si="3"/>
        <v>0.34</v>
      </c>
      <c r="P28" s="209">
        <f t="shared" si="1"/>
        <v>0</v>
      </c>
      <c r="Q28" s="194"/>
    </row>
    <row r="29" spans="1:17" x14ac:dyDescent="0.25">
      <c r="A29" s="13">
        <v>25</v>
      </c>
      <c r="B29" s="6" t="s">
        <v>43</v>
      </c>
      <c r="C29" s="6" t="s">
        <v>19</v>
      </c>
      <c r="D29" s="235">
        <f>20*85/100</f>
        <v>17</v>
      </c>
      <c r="E29" s="5">
        <f>перерасчет!E52</f>
        <v>44</v>
      </c>
      <c r="F29" s="5">
        <f>перерасчет!E112+перерасчет!E142-20</f>
        <v>31.666666666666664</v>
      </c>
      <c r="G29" s="5">
        <f>0</f>
        <v>0</v>
      </c>
      <c r="H29" s="5">
        <f>перерасчет!E241</f>
        <v>0</v>
      </c>
      <c r="I29" s="5">
        <v>0</v>
      </c>
      <c r="J29" s="5">
        <f>перерасчет!E387-20</f>
        <v>48.333333333333329</v>
      </c>
      <c r="K29" s="5">
        <v>0</v>
      </c>
      <c r="L29" s="5">
        <v>0</v>
      </c>
      <c r="M29" s="5">
        <f>перерасчет!E603</f>
        <v>11.333333333333334</v>
      </c>
      <c r="N29" s="5">
        <f>перерасчет!E724-40-20</f>
        <v>22</v>
      </c>
      <c r="O29" s="5">
        <f t="shared" si="0"/>
        <v>15.733333333333331</v>
      </c>
      <c r="P29" s="209">
        <f t="shared" si="1"/>
        <v>-7.4509803921568789</v>
      </c>
      <c r="Q29" s="194"/>
    </row>
    <row r="30" spans="1:17" x14ac:dyDescent="0.25">
      <c r="A30" s="13">
        <v>27</v>
      </c>
      <c r="B30" s="6" t="s">
        <v>44</v>
      </c>
      <c r="C30" s="6" t="s">
        <v>45</v>
      </c>
      <c r="D30" s="235">
        <f>100*85/100</f>
        <v>85</v>
      </c>
      <c r="E30" s="5">
        <f>перерасчет!E17</f>
        <v>200</v>
      </c>
      <c r="F30" s="5">
        <v>0</v>
      </c>
      <c r="G30" s="5">
        <f>перерасчет!E171</f>
        <v>200</v>
      </c>
      <c r="H30" s="5">
        <f>перерасчет!E250</f>
        <v>45</v>
      </c>
      <c r="I30" s="5">
        <f>перерасчет!E283</f>
        <v>200</v>
      </c>
      <c r="J30" s="5">
        <f>перерасчет!E362</f>
        <v>200</v>
      </c>
      <c r="K30" s="5">
        <v>0</v>
      </c>
      <c r="L30" s="5">
        <f>перерасчет!E522</f>
        <v>200</v>
      </c>
      <c r="M30" s="5">
        <v>0</v>
      </c>
      <c r="N30" s="5">
        <v>0</v>
      </c>
      <c r="O30" s="5">
        <f t="shared" si="0"/>
        <v>104.5</v>
      </c>
      <c r="P30" s="209">
        <f t="shared" si="1"/>
        <v>22.941176470588232</v>
      </c>
      <c r="Q30" s="194"/>
    </row>
    <row r="31" spans="1:17" x14ac:dyDescent="0.25">
      <c r="A31" s="13">
        <v>28</v>
      </c>
      <c r="B31" s="6" t="s">
        <v>46</v>
      </c>
      <c r="C31" s="6"/>
      <c r="D31" s="23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f t="shared" si="0"/>
        <v>0</v>
      </c>
      <c r="P31" s="209">
        <v>0</v>
      </c>
      <c r="Q31" s="194"/>
    </row>
    <row r="32" spans="1:17" x14ac:dyDescent="0.25">
      <c r="A32" s="13">
        <v>29</v>
      </c>
      <c r="B32" s="6" t="s">
        <v>47</v>
      </c>
      <c r="C32" s="6" t="s">
        <v>19</v>
      </c>
      <c r="D32" s="235">
        <f>8*85/100</f>
        <v>6.8</v>
      </c>
      <c r="E32" s="5">
        <v>0</v>
      </c>
      <c r="F32" s="5">
        <v>0</v>
      </c>
      <c r="G32" s="5">
        <f>перерасчет!E193</f>
        <v>38.5</v>
      </c>
      <c r="H32" s="5">
        <v>0</v>
      </c>
      <c r="I32" s="5">
        <v>0</v>
      </c>
      <c r="J32" s="5">
        <f>перерасчет!E400</f>
        <v>42</v>
      </c>
      <c r="K32" s="5">
        <f>0</f>
        <v>0</v>
      </c>
      <c r="L32" s="5">
        <v>0</v>
      </c>
      <c r="M32" s="5">
        <v>0</v>
      </c>
      <c r="N32" s="5">
        <v>0</v>
      </c>
      <c r="O32" s="5">
        <f t="shared" si="0"/>
        <v>8.0500000000000007</v>
      </c>
      <c r="P32" s="5">
        <f>D32-O32</f>
        <v>-1.2500000000000009</v>
      </c>
      <c r="Q32" s="194"/>
    </row>
    <row r="33" spans="1:17" ht="13" thickBot="1" x14ac:dyDescent="0.3">
      <c r="A33" s="16">
        <v>30</v>
      </c>
      <c r="B33" s="8" t="s">
        <v>432</v>
      </c>
      <c r="C33" s="8"/>
      <c r="D33" s="237">
        <f>20*85/100</f>
        <v>17</v>
      </c>
      <c r="E33" s="37">
        <f>перерасчет!E33-20</f>
        <v>60.833333333333329</v>
      </c>
      <c r="F33" s="37">
        <v>0</v>
      </c>
      <c r="G33" s="37"/>
      <c r="H33" s="37"/>
      <c r="I33" s="37"/>
      <c r="J33" s="37"/>
      <c r="K33" s="37">
        <f>перерасчет!D486</f>
        <v>113</v>
      </c>
      <c r="L33" s="37"/>
      <c r="M33" s="37"/>
      <c r="N33" s="37"/>
      <c r="O33" s="37">
        <f>SUM(E33:N33)/10</f>
        <v>17.383333333333333</v>
      </c>
      <c r="P33" s="37">
        <f>D33-O33</f>
        <v>-0.38333333333333286</v>
      </c>
      <c r="Q33" s="194"/>
    </row>
    <row r="34" spans="1:17" s="1" customFormat="1" ht="13" x14ac:dyDescent="0.3">
      <c r="A34" s="2"/>
      <c r="B34" s="171"/>
      <c r="C34" s="170"/>
      <c r="D34" s="234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95"/>
    </row>
    <row r="35" spans="1:17" s="1" customFormat="1" x14ac:dyDescent="0.25">
      <c r="A35" s="170"/>
      <c r="B35" s="170"/>
      <c r="C35" s="169"/>
      <c r="D35" s="169"/>
      <c r="E35" s="189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95"/>
    </row>
    <row r="36" spans="1:17" s="1" customFormat="1" x14ac:dyDescent="0.25">
      <c r="A36" s="170"/>
      <c r="B36" s="170"/>
      <c r="C36" s="169"/>
      <c r="D36" s="169"/>
      <c r="E36" s="189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95"/>
    </row>
    <row r="37" spans="1:17" s="1" customFormat="1" x14ac:dyDescent="0.25">
      <c r="A37" s="170"/>
      <c r="B37" s="170"/>
      <c r="C37" s="169"/>
      <c r="D37" s="169"/>
      <c r="E37" s="189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95"/>
    </row>
    <row r="38" spans="1:17" s="1" customFormat="1" x14ac:dyDescent="0.25">
      <c r="A38" s="170"/>
      <c r="B38" s="170"/>
      <c r="C38" s="169"/>
      <c r="D38" s="169"/>
      <c r="E38" s="189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95"/>
    </row>
    <row r="40" spans="1:17" x14ac:dyDescent="0.25">
      <c r="J40" s="17"/>
      <c r="O40" s="11"/>
      <c r="P40" s="11"/>
    </row>
  </sheetData>
  <mergeCells count="4">
    <mergeCell ref="P2:P4"/>
    <mergeCell ref="D2:D3"/>
    <mergeCell ref="E2:N3"/>
    <mergeCell ref="O3:O4"/>
  </mergeCells>
  <phoneticPr fontId="2" type="noConversion"/>
  <pageMargins left="0.41" right="0.51" top="0.56000000000000005" bottom="0.47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topLeftCell="A4" workbookViewId="0">
      <selection activeCell="G17" sqref="G17"/>
    </sheetView>
  </sheetViews>
  <sheetFormatPr defaultRowHeight="12.5" x14ac:dyDescent="0.25"/>
  <cols>
    <col min="1" max="1" width="3.7265625" style="11" customWidth="1"/>
    <col min="2" max="2" width="26.81640625" style="11" customWidth="1"/>
    <col min="3" max="3" width="4.26953125" style="11" customWidth="1"/>
    <col min="4" max="4" width="7.26953125" style="11" customWidth="1"/>
    <col min="5" max="14" width="7.26953125" style="10" customWidth="1"/>
    <col min="15" max="15" width="8.7265625" style="10" customWidth="1"/>
    <col min="16" max="16" width="8.26953125" style="9" customWidth="1"/>
    <col min="17" max="17" width="9.1796875" style="3" customWidth="1"/>
  </cols>
  <sheetData>
    <row r="1" spans="1:17" ht="16" customHeight="1" thickBot="1" x14ac:dyDescent="0.3">
      <c r="A1" s="2"/>
      <c r="B1" s="2" t="s">
        <v>512</v>
      </c>
      <c r="C1" s="2"/>
      <c r="D1" s="241"/>
      <c r="E1" s="2"/>
      <c r="F1" s="2"/>
      <c r="G1" s="2"/>
      <c r="H1" s="2"/>
      <c r="I1" s="2"/>
      <c r="J1" s="2" t="s">
        <v>172</v>
      </c>
      <c r="K1" s="2"/>
      <c r="L1" s="2"/>
      <c r="M1" s="2"/>
      <c r="N1" s="2" t="s">
        <v>510</v>
      </c>
      <c r="O1" s="2"/>
      <c r="P1" s="2"/>
      <c r="Q1" s="10"/>
    </row>
    <row r="2" spans="1:17" ht="16" customHeight="1" x14ac:dyDescent="0.25">
      <c r="A2" s="12"/>
      <c r="B2" s="7"/>
      <c r="C2" s="219"/>
      <c r="D2" s="550" t="s">
        <v>430</v>
      </c>
      <c r="E2" s="554" t="s">
        <v>108</v>
      </c>
      <c r="F2" s="546"/>
      <c r="G2" s="546"/>
      <c r="H2" s="546"/>
      <c r="I2" s="546"/>
      <c r="J2" s="546"/>
      <c r="K2" s="546"/>
      <c r="L2" s="546"/>
      <c r="M2" s="546"/>
      <c r="N2" s="555"/>
      <c r="O2" s="230" t="s">
        <v>106</v>
      </c>
      <c r="P2" s="114"/>
      <c r="Q2" s="10"/>
    </row>
    <row r="3" spans="1:17" ht="16" customHeight="1" x14ac:dyDescent="0.25">
      <c r="A3" s="13" t="s">
        <v>15</v>
      </c>
      <c r="B3" s="6" t="s">
        <v>16</v>
      </c>
      <c r="C3" s="220" t="s">
        <v>17</v>
      </c>
      <c r="D3" s="551"/>
      <c r="E3" s="556"/>
      <c r="F3" s="547"/>
      <c r="G3" s="547"/>
      <c r="H3" s="547"/>
      <c r="I3" s="547"/>
      <c r="J3" s="547"/>
      <c r="K3" s="547"/>
      <c r="L3" s="547"/>
      <c r="M3" s="547"/>
      <c r="N3" s="557"/>
      <c r="O3" s="552" t="s">
        <v>235</v>
      </c>
      <c r="P3" s="558" t="s">
        <v>496</v>
      </c>
      <c r="Q3" s="10"/>
    </row>
    <row r="4" spans="1:17" ht="16" customHeight="1" thickBot="1" x14ac:dyDescent="0.3">
      <c r="A4" s="16"/>
      <c r="B4" s="8"/>
      <c r="C4" s="221"/>
      <c r="D4" s="242" t="s">
        <v>48</v>
      </c>
      <c r="E4" s="223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5</v>
      </c>
      <c r="K4" s="8" t="s">
        <v>6</v>
      </c>
      <c r="L4" s="8" t="s">
        <v>7</v>
      </c>
      <c r="M4" s="8" t="s">
        <v>8</v>
      </c>
      <c r="N4" s="221" t="s">
        <v>9</v>
      </c>
      <c r="O4" s="553"/>
      <c r="P4" s="559"/>
      <c r="Q4" s="10"/>
    </row>
    <row r="5" spans="1:17" ht="16" customHeight="1" x14ac:dyDescent="0.25">
      <c r="A5" s="215">
        <v>1</v>
      </c>
      <c r="B5" s="216" t="s">
        <v>18</v>
      </c>
      <c r="C5" s="222" t="s">
        <v>19</v>
      </c>
      <c r="D5" s="243">
        <f>50*85/100</f>
        <v>42.5</v>
      </c>
      <c r="E5" s="224">
        <f>перерасчет!G45+перерасчет!G59</f>
        <v>42</v>
      </c>
      <c r="F5" s="217">
        <f>перерасчет!G136+перерасчет!G154</f>
        <v>42</v>
      </c>
      <c r="G5" s="217">
        <f>перерасчет!G199+перерасчет!G215</f>
        <v>42</v>
      </c>
      <c r="H5" s="217">
        <f>перерасчет!G267+перерасчет!G255</f>
        <v>42</v>
      </c>
      <c r="I5" s="217">
        <f>перерасчет!G324+перерасчет!G344</f>
        <v>42</v>
      </c>
      <c r="J5" s="217">
        <f>перерасчет!G399+перерасчет!G417</f>
        <v>42</v>
      </c>
      <c r="K5" s="217">
        <f>перерасчет!G485+перерасчет!G508</f>
        <v>42</v>
      </c>
      <c r="L5" s="217">
        <f>перерасчет!G561+перерасчет!G578</f>
        <v>42</v>
      </c>
      <c r="M5" s="217">
        <f>перерасчет!G636+перерасчет!E645</f>
        <v>38</v>
      </c>
      <c r="N5" s="227">
        <f>перерасчет!G702+перерасчет!G737</f>
        <v>42</v>
      </c>
      <c r="O5" s="231">
        <f>SUM(E5:N5)/10</f>
        <v>41.6</v>
      </c>
      <c r="P5" s="218">
        <f>O5/D5%-100</f>
        <v>-2.1176470588235219</v>
      </c>
      <c r="Q5" s="10"/>
    </row>
    <row r="6" spans="1:17" ht="16" customHeight="1" x14ac:dyDescent="0.25">
      <c r="A6" s="13">
        <v>2</v>
      </c>
      <c r="B6" s="6" t="s">
        <v>20</v>
      </c>
      <c r="C6" s="220" t="s">
        <v>19</v>
      </c>
      <c r="D6" s="244">
        <f>80*85/100</f>
        <v>68</v>
      </c>
      <c r="E6" s="225">
        <f>перерасчет!G10+перерасчет!G44</f>
        <v>55</v>
      </c>
      <c r="F6" s="5">
        <f>перерасчет!G135+перерасчет!G115+перерасчет!G92+перерасчет!F85+перерасчет!F117</f>
        <v>81.599999999999994</v>
      </c>
      <c r="G6" s="5">
        <f>перерасчет!G164+перерасчет!G198</f>
        <v>55</v>
      </c>
      <c r="H6" s="5">
        <f>перерасчет!G223+перерасчет!G254</f>
        <v>55</v>
      </c>
      <c r="I6" s="5">
        <f>перерасчет!G323+перерасчет!G277+перерасчет!G309</f>
        <v>66</v>
      </c>
      <c r="J6" s="5">
        <f>перерасчет!G355+перерасчет!F398</f>
        <v>55</v>
      </c>
      <c r="K6" s="5">
        <f>перерасчет!G484+перерасчет!G468+перерасчет!F429+перерасчет!E437</f>
        <v>68.240000000000009</v>
      </c>
      <c r="L6" s="5">
        <f>перерасчет!G516+перерасчет!G560+перерасчет!G511-20</f>
        <v>127.5</v>
      </c>
      <c r="M6" s="5">
        <f>перерасчет!G635+перерасчет!G587</f>
        <v>40</v>
      </c>
      <c r="N6" s="228">
        <f>перерасчет!G653+перерасчет!F685+перерасчет!F701</f>
        <v>74</v>
      </c>
      <c r="O6" s="232">
        <f t="shared" ref="O6:O31" si="0">SUM(E6:N6)/10</f>
        <v>67.734000000000009</v>
      </c>
      <c r="P6" s="209">
        <f>O6/D6%-100</f>
        <v>-0.39117647058823479</v>
      </c>
      <c r="Q6" s="10"/>
    </row>
    <row r="7" spans="1:17" ht="16" customHeight="1" x14ac:dyDescent="0.25">
      <c r="A7" s="13">
        <v>3</v>
      </c>
      <c r="B7" s="6" t="s">
        <v>21</v>
      </c>
      <c r="C7" s="220" t="s">
        <v>19</v>
      </c>
      <c r="D7" s="244">
        <f>29*85/100</f>
        <v>24.65</v>
      </c>
      <c r="E7" s="225">
        <f>перерасчет!G36+перерасчет!G57+перерасчет!E61+перерасчет!E67+перерасчет!G60</f>
        <v>34.85</v>
      </c>
      <c r="F7" s="5">
        <f>перерасчет!G78+перерасчет!G129+перерасчет!G149</f>
        <v>12.85</v>
      </c>
      <c r="G7" s="5">
        <f>перерасчет!G190</f>
        <v>3.8</v>
      </c>
      <c r="H7" s="5">
        <f>перерасчет!G257</f>
        <v>7.4</v>
      </c>
      <c r="I7" s="5">
        <f>перерасчет!G294+перерасчет!G295+перерасчет!G318+перерасчет!G272</f>
        <v>36.46</v>
      </c>
      <c r="J7" s="5">
        <f>перерасчет!G414+перерасчет!G351</f>
        <v>27</v>
      </c>
      <c r="K7" s="5">
        <f>перерасчет!G425+перерасчет!G471+перерасчет!G475+перерасчет!G498</f>
        <v>23.024999999999999</v>
      </c>
      <c r="L7" s="5">
        <f>перерасчет!G549+перерасчет!G572+25</f>
        <v>31.25</v>
      </c>
      <c r="M7" s="5">
        <f>перерасчет!G614+перерасчет!G620+перерасчет!G630</f>
        <v>13</v>
      </c>
      <c r="N7" s="228">
        <f>перерасчет!G727+перерасчет!G726+перерасчет!G715</f>
        <v>35.824999999999996</v>
      </c>
      <c r="O7" s="232">
        <f>SUM(E7:N7)/10</f>
        <v>22.545999999999999</v>
      </c>
      <c r="P7" s="209">
        <f>O7/D7%-100</f>
        <v>-8.5354969574036517</v>
      </c>
      <c r="Q7" s="10"/>
    </row>
    <row r="8" spans="1:17" ht="16" customHeight="1" x14ac:dyDescent="0.25">
      <c r="A8" s="13">
        <v>4</v>
      </c>
      <c r="B8" s="6" t="s">
        <v>22</v>
      </c>
      <c r="C8" s="220" t="s">
        <v>19</v>
      </c>
      <c r="D8" s="244">
        <f>3*85/100</f>
        <v>2.5499999999999998</v>
      </c>
      <c r="E8" s="225">
        <v>0</v>
      </c>
      <c r="F8" s="5">
        <v>0</v>
      </c>
      <c r="G8" s="5">
        <f>перерасчет!G209</f>
        <v>4</v>
      </c>
      <c r="H8" s="5">
        <f>перерасчет!G251</f>
        <v>4.5</v>
      </c>
      <c r="I8" s="5">
        <f>0</f>
        <v>0</v>
      </c>
      <c r="J8" s="5">
        <v>5</v>
      </c>
      <c r="K8" s="5">
        <v>0</v>
      </c>
      <c r="L8" s="5">
        <f>перерасчет!G559</f>
        <v>8.1</v>
      </c>
      <c r="M8" s="5">
        <v>4</v>
      </c>
      <c r="N8" s="228">
        <v>0</v>
      </c>
      <c r="O8" s="232">
        <f t="shared" si="0"/>
        <v>2.56</v>
      </c>
      <c r="P8" s="209">
        <f>O8/D8%-100</f>
        <v>0.39215686274511086</v>
      </c>
      <c r="Q8" s="10"/>
    </row>
    <row r="9" spans="1:17" ht="16" customHeight="1" x14ac:dyDescent="0.25">
      <c r="A9" s="13">
        <v>5</v>
      </c>
      <c r="B9" s="6" t="s">
        <v>23</v>
      </c>
      <c r="C9" s="220" t="s">
        <v>19</v>
      </c>
      <c r="D9" s="244">
        <f>43*85/100</f>
        <v>36.549999999999997</v>
      </c>
      <c r="E9" s="225">
        <f>перерасчет!G40+перерасчет!G28+перерасчет!G6</f>
        <v>106.15799999999999</v>
      </c>
      <c r="F9" s="5">
        <v>0</v>
      </c>
      <c r="G9" s="5">
        <f>перерасчет!G161+перерасчет!G181</f>
        <v>44.4</v>
      </c>
      <c r="H9" s="5">
        <v>0</v>
      </c>
      <c r="I9" s="5">
        <f>перерасчет!F289</f>
        <v>11.55</v>
      </c>
      <c r="J9" s="5">
        <f>перерасчет!G394</f>
        <v>46</v>
      </c>
      <c r="K9" s="5">
        <f>перерасчет!F487</f>
        <v>23</v>
      </c>
      <c r="L9" s="5">
        <f>перерасчет!E531+перерасчет!D564+30</f>
        <v>36.6</v>
      </c>
      <c r="M9" s="5">
        <f>перерасчет!F609</f>
        <v>5</v>
      </c>
      <c r="N9" s="228">
        <f>перерасчет!G648</f>
        <v>44.4</v>
      </c>
      <c r="O9" s="232">
        <f t="shared" si="0"/>
        <v>31.710799999999999</v>
      </c>
      <c r="P9" s="209">
        <f t="shared" ref="P9:P31" si="1">O9/D9%-100</f>
        <v>-13.239945280437752</v>
      </c>
      <c r="Q9" s="10"/>
    </row>
    <row r="10" spans="1:17" ht="16" customHeight="1" x14ac:dyDescent="0.25">
      <c r="A10" s="13">
        <v>6</v>
      </c>
      <c r="B10" s="6" t="s">
        <v>171</v>
      </c>
      <c r="C10" s="220" t="s">
        <v>19</v>
      </c>
      <c r="D10" s="244">
        <f>140*85/100</f>
        <v>119</v>
      </c>
      <c r="E10" s="225">
        <f>перерасчет!G24+перерасчет!G47</f>
        <v>147.4</v>
      </c>
      <c r="F10" s="5">
        <f>перерасчет!G120+перерасчет!G103</f>
        <v>141.19999999999999</v>
      </c>
      <c r="G10" s="5">
        <f>перерасчет!G177+перерасчет!G201</f>
        <v>184</v>
      </c>
      <c r="H10" s="5">
        <f>перерасчет!G230</f>
        <v>54</v>
      </c>
      <c r="I10" s="5">
        <f>перерасчет!G329+перерасчет!G284</f>
        <v>60</v>
      </c>
      <c r="J10" s="5">
        <f>перерасчет!G363+перерасчет!G372</f>
        <v>99</v>
      </c>
      <c r="K10" s="5">
        <f>перерасчет!E457+перерасчет!E445</f>
        <v>123.6</v>
      </c>
      <c r="L10" s="5">
        <f>перерасчет!G527+перерасчет!G543</f>
        <v>127</v>
      </c>
      <c r="M10" s="5">
        <f>перерасчет!G593</f>
        <v>15</v>
      </c>
      <c r="N10" s="228">
        <f>перерасчет!G667+перерасчет!G703</f>
        <v>70</v>
      </c>
      <c r="O10" s="232">
        <f t="shared" si="0"/>
        <v>102.12</v>
      </c>
      <c r="P10" s="209">
        <f t="shared" si="1"/>
        <v>-14.184873949579824</v>
      </c>
      <c r="Q10" s="10"/>
    </row>
    <row r="11" spans="1:17" ht="16" customHeight="1" x14ac:dyDescent="0.25">
      <c r="A11" s="13">
        <v>7</v>
      </c>
      <c r="B11" s="6" t="s">
        <v>24</v>
      </c>
      <c r="C11" s="220" t="s">
        <v>19</v>
      </c>
      <c r="D11" s="244">
        <f>220*85/100</f>
        <v>187</v>
      </c>
      <c r="E11" s="225">
        <f>перерасчет!G18+перерасчет!G22+перерасчет!G29+перерасчет!G30+перерасчет!G35+перерасчет!G38+перерасчет!G46+перерасчет!G53+перерасчет!F39+перерасчет!G19+перерасчет!G54+перерасчет!G20</f>
        <v>161.09000000000003</v>
      </c>
      <c r="F11" s="5">
        <f>перерасчет!G98+перерасчет!G99+перерасчет!G100+перерасчет!G107+перерасчет!G108+перерасчет!G109+перерасчет!G110+перерасчет!G125+перерасчет!G126+перерасчет!G138</f>
        <v>256.06</v>
      </c>
      <c r="G11" s="5">
        <v>95.8</v>
      </c>
      <c r="H11" s="5">
        <f>перерасчет!G227+перерасчет!G229+перерасчет!G234+перерасчет!G247+перерасчет!G248+перерасчет!G235+перерасчет!G236</f>
        <v>102.1</v>
      </c>
      <c r="I11" s="5">
        <f>перерасчет!G288+перерасчет!G289+перерасчет!G290+перерасчет!G291+перерасчет!G300+перерасчет!G301+перерасчет!G312+перерасчет!G314+перерасчет!G315+перерасчет!G316+перерасчет!G317+перерасчет!G333+перерасчет!G334+перерасчет!G335+перерасчет!G336</f>
        <v>257.52999999999997</v>
      </c>
      <c r="J11" s="5">
        <f>перерасчет!G367+перерасчет!G368+перерасчет!G369+перерасчет!G370+перерасчет!G376+перерасчет!G377+перерасчет!G378+перерасчет!G381+перерасчет!G391+перерасчет!G392+перерасчет!G393</f>
        <v>73.02</v>
      </c>
      <c r="K11" s="5">
        <f>перерасчет!G442+перерасчет!G444+перерасчет!G449+перерасчет!G450+перерасчет!G453+перерасчет!G478+перерасчет!G480+перерасчет!G488+перерасчет!G493+перерасчет!G494+перерасчет!G495+перерасчет!G496</f>
        <v>206.24500000000003</v>
      </c>
      <c r="L11" s="5">
        <f>перерасчет!G523+перерасчет!G533+перерасчет!G534+перерасчет!G535+перерасчет!G542+перерасчет!G547+перерасчет!G548+перерасчет!G550+перерасчет!G562+перерасчет!G574+перерасчет!G565</f>
        <v>127.3</v>
      </c>
      <c r="M11" s="5" t="e">
        <f>перерасчет!G597+перерасчет!G598+перерасчет!G599+перерасчет!#REF!+перерасчет!G605+перерасчет!G611+перерасчет!G622+перерасчет!G624+перерасчет!G626+перерасчет!G627+перерасчет!G628+перерасчет!G629</f>
        <v>#REF!</v>
      </c>
      <c r="N11" s="228">
        <f>перерасчет!G660+перерасчет!G662+перерасчет!G663+перерасчет!G666+перерасчет!G672+перерасчет!G673+перерасчет!G681+перерасчет!G682+перерасчет!G706+перерасчет!G707+перерасчет!G708+перерасчет!G709+перерасчет!G710+перерасчет!G711+перерасчет!G716+перерасчет!G717+перерасчет!G719+перерасчет!G663+перерасчет!G671+перерасчет!G718</f>
        <v>242.7</v>
      </c>
      <c r="O11" s="232" t="e">
        <f t="shared" si="0"/>
        <v>#REF!</v>
      </c>
      <c r="P11" s="209" t="e">
        <f t="shared" si="1"/>
        <v>#REF!</v>
      </c>
      <c r="Q11" s="10"/>
    </row>
    <row r="12" spans="1:17" ht="16" customHeight="1" x14ac:dyDescent="0.25">
      <c r="A12" s="13">
        <v>8</v>
      </c>
      <c r="B12" s="6" t="s">
        <v>25</v>
      </c>
      <c r="C12" s="220" t="s">
        <v>19</v>
      </c>
      <c r="D12" s="244">
        <f>100*85/100</f>
        <v>85</v>
      </c>
      <c r="E12" s="225">
        <f>перерасчет!G73</f>
        <v>0</v>
      </c>
      <c r="F12" s="5">
        <f>перерасчет!G97</f>
        <v>100</v>
      </c>
      <c r="G12" s="5">
        <v>0</v>
      </c>
      <c r="H12" s="5">
        <f>перерасчет!G226</f>
        <v>180</v>
      </c>
      <c r="I12" s="5">
        <f>перерасчет!G343</f>
        <v>0</v>
      </c>
      <c r="J12" s="5">
        <f>перерасчет!G395</f>
        <v>36</v>
      </c>
      <c r="K12" s="5">
        <f>перерасчет!G441+перерасчет!G481+перерасчет!G431</f>
        <v>142.75</v>
      </c>
      <c r="L12" s="5">
        <f>перерасчет!G553</f>
        <v>18</v>
      </c>
      <c r="M12" s="5">
        <f>перерасчет!G592</f>
        <v>180</v>
      </c>
      <c r="N12" s="228">
        <f>перерасчет!G659+перерасчет!G696</f>
        <v>213.3</v>
      </c>
      <c r="O12" s="232">
        <f t="shared" si="0"/>
        <v>87.004999999999995</v>
      </c>
      <c r="P12" s="209">
        <f t="shared" si="1"/>
        <v>2.3588235294117652</v>
      </c>
      <c r="Q12" s="10"/>
    </row>
    <row r="13" spans="1:17" ht="16" customHeight="1" x14ac:dyDescent="0.25">
      <c r="A13" s="13">
        <v>9</v>
      </c>
      <c r="B13" s="6" t="s">
        <v>26</v>
      </c>
      <c r="C13" s="220" t="s">
        <v>19</v>
      </c>
      <c r="D13" s="244">
        <f>11*85/100</f>
        <v>9.35</v>
      </c>
      <c r="E13" s="225">
        <f>перерасчет!F42</f>
        <v>18</v>
      </c>
      <c r="F13" s="5">
        <f>перерасчет!G81</f>
        <v>10</v>
      </c>
      <c r="G13" s="5">
        <f>перерасчет!F195</f>
        <v>15</v>
      </c>
      <c r="H13" s="5">
        <v>0</v>
      </c>
      <c r="I13" s="5">
        <f>перерасчет!G320+8</f>
        <v>26</v>
      </c>
      <c r="J13" s="5">
        <v>0</v>
      </c>
      <c r="K13" s="5">
        <v>0</v>
      </c>
      <c r="L13" s="5">
        <v>0</v>
      </c>
      <c r="M13" s="5">
        <f>перерасчет!F632</f>
        <v>15</v>
      </c>
      <c r="N13" s="228">
        <v>0</v>
      </c>
      <c r="O13" s="232">
        <f t="shared" si="0"/>
        <v>8.4</v>
      </c>
      <c r="P13" s="209">
        <f t="shared" si="1"/>
        <v>-10.160427807486627</v>
      </c>
      <c r="Q13" s="10"/>
    </row>
    <row r="14" spans="1:17" ht="16" customHeight="1" x14ac:dyDescent="0.25">
      <c r="A14" s="13">
        <v>10</v>
      </c>
      <c r="B14" s="6" t="s">
        <v>27</v>
      </c>
      <c r="C14" s="220" t="s">
        <v>19</v>
      </c>
      <c r="D14" s="244">
        <f>20*85/100</f>
        <v>17</v>
      </c>
      <c r="E14" s="225">
        <f>0</f>
        <v>0</v>
      </c>
      <c r="F14" s="5">
        <v>0</v>
      </c>
      <c r="G14" s="5">
        <f>0</f>
        <v>0</v>
      </c>
      <c r="H14" s="5">
        <f>перерасчет!G265</f>
        <v>20</v>
      </c>
      <c r="I14" s="5">
        <f>перерасчет!G342</f>
        <v>30</v>
      </c>
      <c r="J14" s="5">
        <f>перерасчет!G419</f>
        <v>0</v>
      </c>
      <c r="K14" s="5">
        <f>перерасчет!G498</f>
        <v>12</v>
      </c>
      <c r="L14" s="5">
        <f>перерасчет!G576</f>
        <v>0</v>
      </c>
      <c r="M14" s="5">
        <f>перерасчет!G644</f>
        <v>50</v>
      </c>
      <c r="N14" s="228">
        <v>0</v>
      </c>
      <c r="O14" s="232">
        <f t="shared" si="0"/>
        <v>11.2</v>
      </c>
      <c r="P14" s="209">
        <f t="shared" si="1"/>
        <v>-34.117647058823536</v>
      </c>
      <c r="Q14" s="10"/>
    </row>
    <row r="15" spans="1:17" ht="16" customHeight="1" x14ac:dyDescent="0.25">
      <c r="A15" s="13">
        <v>11</v>
      </c>
      <c r="B15" s="6" t="s">
        <v>28</v>
      </c>
      <c r="C15" s="220" t="s">
        <v>19</v>
      </c>
      <c r="D15" s="244">
        <f>30*85/100</f>
        <v>25.5</v>
      </c>
      <c r="E15" s="225">
        <f>перерасчет!G7+перерасчет!G14+перерасчет!G43+перерасчет!G62</f>
        <v>39</v>
      </c>
      <c r="F15" s="5">
        <f>перерасчет!G80+перерасчет!G90+перерасчет!G133+перерасчет!E95</f>
        <v>35.4</v>
      </c>
      <c r="G15" s="5">
        <f>перерасчет!G191+перерасчет!G196+перерасчет!G167+перерасчет!G162</f>
        <v>62.4</v>
      </c>
      <c r="H15" s="5">
        <f>перерасчет!G252+перерасчет!G260</f>
        <v>29.6</v>
      </c>
      <c r="I15" s="5">
        <f>перерасчет!G321+перерасчет!G281+перерасчет!G274+перерасчет!G319</f>
        <v>29</v>
      </c>
      <c r="J15" s="5">
        <f>перерасчет!G352+перерасчет!G359+перерасчет!G396-20</f>
        <v>13</v>
      </c>
      <c r="K15" s="5">
        <f>перерасчет!G426+перерасчет!G432+перерасчет!G440+перерасчет!G454+перерасчет!G482-10</f>
        <v>30.83</v>
      </c>
      <c r="L15" s="5">
        <f>перерасчет!G558</f>
        <v>18</v>
      </c>
      <c r="M15" s="5">
        <f>перерасчет!G631+перерасчет!G634</f>
        <v>14</v>
      </c>
      <c r="N15" s="228">
        <f>перерасчет!F652+перерасчет!F657+перерасчет!F665+перерасчет!F699+перерасчет!F721+перерасчет!F731+перерасчет!G675</f>
        <v>32.9</v>
      </c>
      <c r="O15" s="232">
        <f t="shared" si="0"/>
        <v>30.413</v>
      </c>
      <c r="P15" s="209">
        <f t="shared" si="1"/>
        <v>19.266666666666666</v>
      </c>
      <c r="Q15" s="10"/>
    </row>
    <row r="16" spans="1:17" ht="16" customHeight="1" x14ac:dyDescent="0.25">
      <c r="A16" s="13">
        <v>12</v>
      </c>
      <c r="B16" s="6" t="s">
        <v>29</v>
      </c>
      <c r="C16" s="220" t="s">
        <v>19</v>
      </c>
      <c r="D16" s="244">
        <f>21*85/100</f>
        <v>17.850000000000001</v>
      </c>
      <c r="E16" s="225">
        <f>перерасчет!G8+перерасчет!G41+перерасчет!G54+перерасчет!G63</f>
        <v>22.4925</v>
      </c>
      <c r="F16" s="5">
        <f>перерасчет!G83+перерасчет!G87++перерасчет!G119++перерасчет!G141+перерасчет!G148+перерасчет!G152</f>
        <v>22.5</v>
      </c>
      <c r="G16" s="5">
        <v>18.600000000000001</v>
      </c>
      <c r="H16" s="5">
        <f>перерасчет!G220+перерасчет!G222+перерасчет!G249+перерасчет!G224-5</f>
        <v>18.5</v>
      </c>
      <c r="I16" s="5">
        <f>перерасчет!G273+перерасчет!G311</f>
        <v>7</v>
      </c>
      <c r="J16" s="5">
        <f>перерасчет!G354+перерасчет!G356+перерасчет!G401+перерасчет!G410+перерасчет!G413</f>
        <v>17.899999999999999</v>
      </c>
      <c r="K16" s="5">
        <f>перерасчет!G428+перерасчет!G463+перерасчет!G479+перерасчет!G489+перерасчет!G492</f>
        <v>19.850000000000001</v>
      </c>
      <c r="L16" s="5">
        <f>перерасчет!G513+перерасчет!G517+перерасчет!G551+перерасчет!G566-30</f>
        <v>12.174999999999997</v>
      </c>
      <c r="M16" s="5">
        <f>перерасчет!G586+перерасчет!G612+перерасчет!G616+перерасчет!G639-15</f>
        <v>24.700000000000003</v>
      </c>
      <c r="N16" s="228">
        <f>перерасчет!G651+перерасчет!G687+перерасчет!G694+перерасчет!G714+перерасчет!G720+перерасчет!G729</f>
        <v>18.95</v>
      </c>
      <c r="O16" s="232">
        <f t="shared" si="0"/>
        <v>18.266749999999995</v>
      </c>
      <c r="P16" s="209">
        <f t="shared" si="1"/>
        <v>2.3347338935573845</v>
      </c>
      <c r="Q16" s="10"/>
    </row>
    <row r="17" spans="1:17" ht="16" customHeight="1" x14ac:dyDescent="0.25">
      <c r="A17" s="13">
        <v>13</v>
      </c>
      <c r="B17" s="6" t="s">
        <v>30</v>
      </c>
      <c r="C17" s="220" t="s">
        <v>19</v>
      </c>
      <c r="D17" s="244">
        <f>11*85/100</f>
        <v>9.35</v>
      </c>
      <c r="E17" s="225">
        <f>перерасчет!G31+перерасчет!G34+перерасчет!G21+перерасчет!G69</f>
        <v>6.53</v>
      </c>
      <c r="F17" s="5">
        <f>перерасчет!G102+перерасчет!G111+перерасчет!G118+перерасчет!G145</f>
        <v>11.3</v>
      </c>
      <c r="G17" s="5">
        <f>перерасчет!G208+перерасчет!G183</f>
        <v>5.6</v>
      </c>
      <c r="H17" s="5">
        <f>перерасчет!G259+перерасчет!G228+перерасчет!G237</f>
        <v>8</v>
      </c>
      <c r="I17" s="5">
        <f>перерасчет!G338+перерасчет!G302+перерасчет!G292</f>
        <v>8</v>
      </c>
      <c r="J17" s="5">
        <f>перерасчет!G379+перерасчет!G371</f>
        <v>4.8</v>
      </c>
      <c r="K17" s="5">
        <f>перерасчет!G443+перерасчет!G452+перерасчет!G471+перерасчет!G497</f>
        <v>10.5</v>
      </c>
      <c r="L17" s="5">
        <f>перерасчет!G536</f>
        <v>2</v>
      </c>
      <c r="M17" s="5">
        <f>перерасчет!G585+перерасчет!G601</f>
        <v>8.6</v>
      </c>
      <c r="N17" s="228">
        <f>перерасчет!G664+перерасчет!G674+перерасчет!G686+5</f>
        <v>14.5</v>
      </c>
      <c r="O17" s="232">
        <f t="shared" si="0"/>
        <v>7.9829999999999997</v>
      </c>
      <c r="P17" s="209">
        <f t="shared" si="1"/>
        <v>-14.620320855614978</v>
      </c>
      <c r="Q17" s="10"/>
    </row>
    <row r="18" spans="1:17" ht="16" customHeight="1" x14ac:dyDescent="0.25">
      <c r="A18" s="13">
        <v>14</v>
      </c>
      <c r="B18" s="6" t="s">
        <v>31</v>
      </c>
      <c r="C18" s="220" t="s">
        <v>19</v>
      </c>
      <c r="D18" s="244">
        <f>0.6*85/100</f>
        <v>0.51</v>
      </c>
      <c r="E18" s="225">
        <f t="shared" ref="E18:N18" si="2">0.6*85/100</f>
        <v>0.51</v>
      </c>
      <c r="F18" s="5">
        <f t="shared" si="2"/>
        <v>0.51</v>
      </c>
      <c r="G18" s="5">
        <f t="shared" si="2"/>
        <v>0.51</v>
      </c>
      <c r="H18" s="5">
        <f t="shared" si="2"/>
        <v>0.51</v>
      </c>
      <c r="I18" s="5">
        <f t="shared" si="2"/>
        <v>0.51</v>
      </c>
      <c r="J18" s="5">
        <f t="shared" si="2"/>
        <v>0.51</v>
      </c>
      <c r="K18" s="5">
        <f t="shared" si="2"/>
        <v>0.51</v>
      </c>
      <c r="L18" s="5">
        <f t="shared" si="2"/>
        <v>0.51</v>
      </c>
      <c r="M18" s="5">
        <f t="shared" si="2"/>
        <v>0.51</v>
      </c>
      <c r="N18" s="228">
        <f t="shared" si="2"/>
        <v>0.51</v>
      </c>
      <c r="O18" s="232">
        <f t="shared" si="0"/>
        <v>0.5099999999999999</v>
      </c>
      <c r="P18" s="209">
        <f t="shared" si="1"/>
        <v>0</v>
      </c>
      <c r="Q18" s="10"/>
    </row>
    <row r="19" spans="1:17" ht="16" customHeight="1" x14ac:dyDescent="0.25">
      <c r="A19" s="13">
        <v>15</v>
      </c>
      <c r="B19" s="6" t="s">
        <v>32</v>
      </c>
      <c r="C19" s="220" t="s">
        <v>19</v>
      </c>
      <c r="D19" s="245">
        <f>55*85/100</f>
        <v>46.75</v>
      </c>
      <c r="E19" s="225">
        <f>перерасчет!G33</f>
        <v>96.75</v>
      </c>
      <c r="F19" s="5">
        <f>перерасчет!G114</f>
        <v>44</v>
      </c>
      <c r="G19" s="5">
        <f>0</f>
        <v>0</v>
      </c>
      <c r="H19" s="5">
        <f>перерасчет!G246</f>
        <v>96.75</v>
      </c>
      <c r="I19" s="5">
        <f>0</f>
        <v>0</v>
      </c>
      <c r="J19" s="5">
        <f>перерасчет!G380</f>
        <v>28.5</v>
      </c>
      <c r="K19" s="5">
        <f>перерасчет!G455</f>
        <v>16</v>
      </c>
      <c r="L19" s="5">
        <f>перерасчет!G540+40</f>
        <v>137.5</v>
      </c>
      <c r="M19" s="5">
        <f>перерасчет!G608</f>
        <v>38</v>
      </c>
      <c r="N19" s="228">
        <v>0</v>
      </c>
      <c r="O19" s="232">
        <f t="shared" si="0"/>
        <v>45.75</v>
      </c>
      <c r="P19" s="209">
        <f t="shared" si="1"/>
        <v>-2.1390374331550817</v>
      </c>
      <c r="Q19" s="10"/>
    </row>
    <row r="20" spans="1:17" ht="16" customHeight="1" x14ac:dyDescent="0.25">
      <c r="A20" s="13">
        <v>16</v>
      </c>
      <c r="B20" s="6" t="s">
        <v>33</v>
      </c>
      <c r="C20" s="220" t="s">
        <v>19</v>
      </c>
      <c r="D20" s="244">
        <f>37*85/100</f>
        <v>31.45</v>
      </c>
      <c r="E20" s="225">
        <f>перерасчет!G23*2</f>
        <v>57.6</v>
      </c>
      <c r="F20" s="5">
        <f>0</f>
        <v>0</v>
      </c>
      <c r="G20" s="107">
        <f>перерасчет!F200</f>
        <v>0</v>
      </c>
      <c r="H20" s="5">
        <v>0</v>
      </c>
      <c r="I20" s="5">
        <f>перерасчет!G325</f>
        <v>49</v>
      </c>
      <c r="J20" s="5">
        <f>перерасчет!G403</f>
        <v>65</v>
      </c>
      <c r="K20" s="5">
        <f>перерасчет!G465</f>
        <v>54</v>
      </c>
      <c r="L20" s="5">
        <f>0</f>
        <v>0</v>
      </c>
      <c r="M20" s="5">
        <v>0</v>
      </c>
      <c r="N20" s="228">
        <f>перерасчет!G677</f>
        <v>68</v>
      </c>
      <c r="O20" s="232">
        <f t="shared" si="0"/>
        <v>29.360000000000003</v>
      </c>
      <c r="P20" s="209">
        <f t="shared" si="1"/>
        <v>-6.6454689984101663</v>
      </c>
      <c r="Q20" s="10"/>
    </row>
    <row r="21" spans="1:17" ht="16" customHeight="1" x14ac:dyDescent="0.25">
      <c r="A21" s="13">
        <v>17</v>
      </c>
      <c r="B21" s="6" t="s">
        <v>34</v>
      </c>
      <c r="C21" s="220" t="s">
        <v>19</v>
      </c>
      <c r="D21" s="244">
        <f>450*85/100</f>
        <v>382.5</v>
      </c>
      <c r="E21" s="225">
        <f>перерасчет!G3+перерасчет!G15+перерасчет!E5+перерасчет!E71</f>
        <v>462.6</v>
      </c>
      <c r="F21" s="5">
        <f>перерасчет!G86+перерасчет!G116+перерасчет!G147+перерасчет!G153+перерасчет!G96</f>
        <v>284</v>
      </c>
      <c r="G21" s="5">
        <f>перерасчет!G158+перерасчет!G168+перерасчет!G212</f>
        <v>236.3</v>
      </c>
      <c r="H21" s="5">
        <f>перерасчет!G219+перерасчет!G225+перерасчет!G266</f>
        <v>219.67500000000001</v>
      </c>
      <c r="I21" s="5">
        <f>перерасчет!G271+перерасчет!G282+перерасчет!G310</f>
        <v>289</v>
      </c>
      <c r="J21" s="5">
        <f>перерасчет!G348+перерасчет!G360+перерасчет!G408+перерасчет!G412</f>
        <v>280.5</v>
      </c>
      <c r="K21" s="5">
        <f>перерасчет!G461+перерасчет!G507+перерасчет!G469</f>
        <v>224.5</v>
      </c>
      <c r="L21" s="5">
        <f>перерасчет!G520+перерасчет!G577+перерасчет!G512</f>
        <v>257.125</v>
      </c>
      <c r="M21" s="5">
        <f>перерасчет!G583+перерасчет!G591+перерасчет!G643</f>
        <v>226.3</v>
      </c>
      <c r="N21" s="228">
        <f>перерасчет!G649+перерасчет!G658+перерасчет!G683+перерасчет!G692+перерасчет!G738</f>
        <v>462.5</v>
      </c>
      <c r="O21" s="232">
        <f t="shared" si="0"/>
        <v>294.25</v>
      </c>
      <c r="P21" s="209">
        <f t="shared" si="1"/>
        <v>-23.071895424836612</v>
      </c>
      <c r="Q21" s="10"/>
    </row>
    <row r="22" spans="1:17" ht="16" customHeight="1" x14ac:dyDescent="0.25">
      <c r="A22" s="13">
        <v>18</v>
      </c>
      <c r="B22" s="6" t="s">
        <v>35</v>
      </c>
      <c r="C22" s="220" t="s">
        <v>19</v>
      </c>
      <c r="D22" s="244">
        <f>40*85/100</f>
        <v>34</v>
      </c>
      <c r="E22" s="225">
        <v>0</v>
      </c>
      <c r="F22" s="5">
        <f>перерасчет!G77</f>
        <v>75</v>
      </c>
      <c r="G22" s="5">
        <v>0</v>
      </c>
      <c r="H22" s="5">
        <f>перерасчет!G256</f>
        <v>90</v>
      </c>
      <c r="I22" s="5">
        <v>0</v>
      </c>
      <c r="J22" s="5">
        <v>0</v>
      </c>
      <c r="K22" s="5">
        <f>перерасчет!G424</f>
        <v>92</v>
      </c>
      <c r="L22" s="5">
        <v>0</v>
      </c>
      <c r="M22" s="5">
        <f>перерасчет!G637</f>
        <v>77.900000000000006</v>
      </c>
      <c r="N22" s="228">
        <v>0</v>
      </c>
      <c r="O22" s="232">
        <f t="shared" si="0"/>
        <v>33.489999999999995</v>
      </c>
      <c r="P22" s="209">
        <f t="shared" si="1"/>
        <v>-1.5000000000000284</v>
      </c>
      <c r="Q22" s="10"/>
    </row>
    <row r="23" spans="1:17" ht="16" customHeight="1" x14ac:dyDescent="0.25">
      <c r="A23" s="13">
        <v>19</v>
      </c>
      <c r="B23" s="6" t="s">
        <v>36</v>
      </c>
      <c r="C23" s="220" t="s">
        <v>19</v>
      </c>
      <c r="D23" s="244">
        <f>11*85/100</f>
        <v>9.35</v>
      </c>
      <c r="E23" s="225">
        <f>перерасчет!G56</f>
        <v>7.5</v>
      </c>
      <c r="F23" s="5">
        <f>перерасчет!G84+перерасчет!G113+перерасчет!G128</f>
        <v>21.5</v>
      </c>
      <c r="G23" s="5">
        <v>0</v>
      </c>
      <c r="H23" s="5">
        <v>0</v>
      </c>
      <c r="I23" s="5">
        <v>0</v>
      </c>
      <c r="J23" s="5">
        <v>0</v>
      </c>
      <c r="K23" s="5">
        <f>перерасчет!G430+перерасчет!G456+перерасчет!G474</f>
        <v>20.75</v>
      </c>
      <c r="L23" s="5">
        <f>перерасчет!G571+перерасчет!G539</f>
        <v>17.5</v>
      </c>
      <c r="M23" s="5">
        <f>перерасчет!G619</f>
        <v>20</v>
      </c>
      <c r="N23" s="228">
        <f>перерасчет!G676</f>
        <v>10</v>
      </c>
      <c r="O23" s="232">
        <f t="shared" si="0"/>
        <v>9.7249999999999996</v>
      </c>
      <c r="P23" s="209">
        <f t="shared" si="1"/>
        <v>4.0106951871657657</v>
      </c>
      <c r="Q23" s="10"/>
    </row>
    <row r="24" spans="1:17" ht="16" customHeight="1" x14ac:dyDescent="0.25">
      <c r="A24" s="13">
        <v>20</v>
      </c>
      <c r="B24" s="6" t="s">
        <v>37</v>
      </c>
      <c r="C24" s="220" t="s">
        <v>19</v>
      </c>
      <c r="D24" s="244">
        <f>6*85/100</f>
        <v>5.0999999999999996</v>
      </c>
      <c r="E24" s="225">
        <f>перерасчет!G11</f>
        <v>0</v>
      </c>
      <c r="F24" s="5">
        <f>0</f>
        <v>0</v>
      </c>
      <c r="G24" s="5">
        <f>перерасчет!G165</f>
        <v>5</v>
      </c>
      <c r="H24" s="5">
        <f>перерасчет!G221-10</f>
        <v>5.6</v>
      </c>
      <c r="I24" s="5">
        <f>перерасчет!G278</f>
        <v>10</v>
      </c>
      <c r="J24" s="5">
        <f>перерасчет!G357</f>
        <v>0</v>
      </c>
      <c r="K24" s="5">
        <v>0</v>
      </c>
      <c r="L24" s="5">
        <f>перерасчет!G518</f>
        <v>5</v>
      </c>
      <c r="M24" s="5">
        <v>0</v>
      </c>
      <c r="N24" s="228">
        <v>0</v>
      </c>
      <c r="O24" s="232">
        <f t="shared" si="0"/>
        <v>2.56</v>
      </c>
      <c r="P24" s="209">
        <f t="shared" si="1"/>
        <v>-49.803921568627445</v>
      </c>
      <c r="Q24" s="10"/>
    </row>
    <row r="25" spans="1:17" s="3" customFormat="1" ht="16" customHeight="1" x14ac:dyDescent="0.25">
      <c r="A25" s="13">
        <v>21</v>
      </c>
      <c r="B25" s="6" t="s">
        <v>38</v>
      </c>
      <c r="C25" s="220" t="s">
        <v>39</v>
      </c>
      <c r="D25" s="244">
        <f>40*85/100</f>
        <v>34</v>
      </c>
      <c r="E25" s="225">
        <f>перерасчет!G67+перерасчет!G70</f>
        <v>1.46</v>
      </c>
      <c r="F25" s="5">
        <f>перерасчет!G79+перерасчет!G144</f>
        <v>18</v>
      </c>
      <c r="G25" s="5">
        <f>0</f>
        <v>0</v>
      </c>
      <c r="H25" s="5">
        <f>перерасчет!G218+перерасчет!G258</f>
        <v>108.6</v>
      </c>
      <c r="I25" s="5">
        <f>перерасчет!G296+перерасчет!G337</f>
        <v>12</v>
      </c>
      <c r="J25" s="5">
        <f>перерасчет!G382+перерасчет!G409</f>
        <v>9</v>
      </c>
      <c r="K25" s="5">
        <f>перерасчет!G427+перерасчет!G490+перерасчет!G491+перерасчет!G501</f>
        <v>18.725000000000001</v>
      </c>
      <c r="L25" s="5">
        <f>перерасчет!G511</f>
        <v>112.5</v>
      </c>
      <c r="M25" s="5">
        <f>перерасчет!G604+перерасчет!G607+перерасчет!G640</f>
        <v>49</v>
      </c>
      <c r="N25" s="228">
        <f>перерасчет!G684+перерасчет!G730+перерасчет!G731</f>
        <v>8.9285714285714288</v>
      </c>
      <c r="O25" s="232">
        <f t="shared" si="0"/>
        <v>33.821357142857138</v>
      </c>
      <c r="P25" s="209">
        <f t="shared" si="1"/>
        <v>-0.52542016806724234</v>
      </c>
      <c r="Q25" s="10"/>
    </row>
    <row r="26" spans="1:17" ht="16" customHeight="1" x14ac:dyDescent="0.25">
      <c r="A26" s="13">
        <v>22</v>
      </c>
      <c r="B26" s="6" t="s">
        <v>40</v>
      </c>
      <c r="C26" s="220" t="s">
        <v>19</v>
      </c>
      <c r="D26" s="244">
        <f>1.8*85/100</f>
        <v>1.53</v>
      </c>
      <c r="E26" s="225">
        <f t="shared" ref="E26:N26" si="3">1.8*85/100</f>
        <v>1.53</v>
      </c>
      <c r="F26" s="5">
        <f t="shared" si="3"/>
        <v>1.53</v>
      </c>
      <c r="G26" s="5">
        <f t="shared" si="3"/>
        <v>1.53</v>
      </c>
      <c r="H26" s="5">
        <f t="shared" si="3"/>
        <v>1.53</v>
      </c>
      <c r="I26" s="5">
        <f t="shared" si="3"/>
        <v>1.53</v>
      </c>
      <c r="J26" s="5">
        <f t="shared" si="3"/>
        <v>1.53</v>
      </c>
      <c r="K26" s="5">
        <f t="shared" si="3"/>
        <v>1.53</v>
      </c>
      <c r="L26" s="5">
        <f t="shared" si="3"/>
        <v>1.53</v>
      </c>
      <c r="M26" s="5">
        <f t="shared" si="3"/>
        <v>1.53</v>
      </c>
      <c r="N26" s="228">
        <f t="shared" si="3"/>
        <v>1.53</v>
      </c>
      <c r="O26" s="232">
        <f t="shared" si="0"/>
        <v>1.5299999999999998</v>
      </c>
      <c r="P26" s="209">
        <f t="shared" si="1"/>
        <v>0</v>
      </c>
      <c r="Q26" s="10"/>
    </row>
    <row r="27" spans="1:17" ht="16" customHeight="1" x14ac:dyDescent="0.25">
      <c r="A27" s="13">
        <v>23</v>
      </c>
      <c r="B27" s="6" t="s">
        <v>41</v>
      </c>
      <c r="C27" s="220" t="s">
        <v>19</v>
      </c>
      <c r="D27" s="244">
        <f>5*85/100</f>
        <v>4.25</v>
      </c>
      <c r="E27" s="225">
        <v>4.3</v>
      </c>
      <c r="F27" s="5">
        <v>4.3</v>
      </c>
      <c r="G27" s="5">
        <v>4.3</v>
      </c>
      <c r="H27" s="5">
        <v>4.3</v>
      </c>
      <c r="I27" s="5">
        <v>4.3</v>
      </c>
      <c r="J27" s="5">
        <v>4.3</v>
      </c>
      <c r="K27" s="5">
        <v>4.3</v>
      </c>
      <c r="L27" s="5">
        <v>4.3</v>
      </c>
      <c r="M27" s="5">
        <v>4.3</v>
      </c>
      <c r="N27" s="228">
        <v>4.3</v>
      </c>
      <c r="O27" s="232">
        <f t="shared" si="0"/>
        <v>4.2999999999999989</v>
      </c>
      <c r="P27" s="209">
        <f t="shared" si="1"/>
        <v>1.1764705882352615</v>
      </c>
      <c r="Q27" s="10"/>
    </row>
    <row r="28" spans="1:17" ht="16" customHeight="1" x14ac:dyDescent="0.25">
      <c r="A28" s="13">
        <v>24</v>
      </c>
      <c r="B28" s="6" t="s">
        <v>42</v>
      </c>
      <c r="C28" s="220" t="s">
        <v>19</v>
      </c>
      <c r="D28" s="244">
        <f>0.5*85/100</f>
        <v>0.42499999999999999</v>
      </c>
      <c r="E28" s="225">
        <f t="shared" ref="E28:N28" si="4">0.5*85/100</f>
        <v>0.42499999999999999</v>
      </c>
      <c r="F28" s="5">
        <f t="shared" si="4"/>
        <v>0.42499999999999999</v>
      </c>
      <c r="G28" s="5">
        <f t="shared" si="4"/>
        <v>0.42499999999999999</v>
      </c>
      <c r="H28" s="5">
        <f t="shared" si="4"/>
        <v>0.42499999999999999</v>
      </c>
      <c r="I28" s="5">
        <f t="shared" si="4"/>
        <v>0.42499999999999999</v>
      </c>
      <c r="J28" s="5">
        <f t="shared" si="4"/>
        <v>0.42499999999999999</v>
      </c>
      <c r="K28" s="5">
        <f t="shared" si="4"/>
        <v>0.42499999999999999</v>
      </c>
      <c r="L28" s="5">
        <f t="shared" si="4"/>
        <v>0.42499999999999999</v>
      </c>
      <c r="M28" s="5">
        <f t="shared" si="4"/>
        <v>0.42499999999999999</v>
      </c>
      <c r="N28" s="228">
        <f t="shared" si="4"/>
        <v>0.42499999999999999</v>
      </c>
      <c r="O28" s="232">
        <f t="shared" si="0"/>
        <v>0.42499999999999993</v>
      </c>
      <c r="P28" s="209">
        <f t="shared" si="1"/>
        <v>0</v>
      </c>
      <c r="Q28" s="10"/>
    </row>
    <row r="29" spans="1:17" ht="16" customHeight="1" x14ac:dyDescent="0.25">
      <c r="A29" s="13">
        <v>25</v>
      </c>
      <c r="B29" s="6" t="s">
        <v>43</v>
      </c>
      <c r="C29" s="220" t="s">
        <v>19</v>
      </c>
      <c r="D29" s="244">
        <f>24*85/100</f>
        <v>20.399999999999999</v>
      </c>
      <c r="E29" s="225">
        <f>перерасчет!G52-40</f>
        <v>19</v>
      </c>
      <c r="F29" s="5">
        <f>перерасчет!G112+перерасчет!G142-40</f>
        <v>24.666666666666671</v>
      </c>
      <c r="G29" s="5">
        <v>0</v>
      </c>
      <c r="H29" s="5">
        <f>перерасчет!E241</f>
        <v>0</v>
      </c>
      <c r="I29" s="5">
        <f>перерасчет!G305+перерасчет!G306</f>
        <v>55.333333333333336</v>
      </c>
      <c r="J29" s="5">
        <f>перерасчет!G388-40</f>
        <v>28.333333333333329</v>
      </c>
      <c r="K29" s="5">
        <v>0</v>
      </c>
      <c r="L29" s="5">
        <f>перерасчет!E538</f>
        <v>11.333333333333334</v>
      </c>
      <c r="M29" s="5">
        <f>перерасчет!G603</f>
        <v>11.333333333333334</v>
      </c>
      <c r="N29" s="228">
        <f>перерасчет!G724-20</f>
        <v>62</v>
      </c>
      <c r="O29" s="232">
        <f t="shared" si="0"/>
        <v>21.2</v>
      </c>
      <c r="P29" s="209">
        <f t="shared" si="1"/>
        <v>3.9215686274509807</v>
      </c>
      <c r="Q29" s="10"/>
    </row>
    <row r="30" spans="1:17" ht="16" customHeight="1" x14ac:dyDescent="0.25">
      <c r="A30" s="13">
        <v>27</v>
      </c>
      <c r="B30" s="6" t="s">
        <v>44</v>
      </c>
      <c r="C30" s="220" t="s">
        <v>45</v>
      </c>
      <c r="D30" s="244">
        <f>150*85/100</f>
        <v>127.5</v>
      </c>
      <c r="E30" s="225">
        <v>0</v>
      </c>
      <c r="F30" s="5">
        <f>перерасчет!G171</f>
        <v>180</v>
      </c>
      <c r="G30" s="5">
        <v>54</v>
      </c>
      <c r="H30" s="5">
        <f>перерасчет!G283</f>
        <v>180</v>
      </c>
      <c r="I30" s="5">
        <f>перерасчет!G362</f>
        <v>180</v>
      </c>
      <c r="J30" s="5">
        <v>0</v>
      </c>
      <c r="K30" s="5">
        <v>0</v>
      </c>
      <c r="L30" s="5">
        <f>перерасчет!G522</f>
        <v>180</v>
      </c>
      <c r="M30" s="5">
        <f>перерасчет!G659</f>
        <v>180</v>
      </c>
      <c r="N30" s="228">
        <v>125</v>
      </c>
      <c r="O30" s="232">
        <f t="shared" si="0"/>
        <v>107.9</v>
      </c>
      <c r="P30" s="209">
        <f t="shared" si="1"/>
        <v>-15.372549019607831</v>
      </c>
    </row>
    <row r="31" spans="1:17" ht="16" customHeight="1" x14ac:dyDescent="0.25">
      <c r="A31" s="13">
        <v>28</v>
      </c>
      <c r="B31" s="6" t="s">
        <v>47</v>
      </c>
      <c r="C31" s="220" t="s">
        <v>19</v>
      </c>
      <c r="D31" s="244">
        <f>12*85/100</f>
        <v>10.199999999999999</v>
      </c>
      <c r="E31" s="225">
        <v>0</v>
      </c>
      <c r="F31" s="5">
        <f>перерасчет!G193-10</f>
        <v>34.200000000000003</v>
      </c>
      <c r="G31" s="5">
        <v>0</v>
      </c>
      <c r="H31" s="5">
        <v>0</v>
      </c>
      <c r="I31" s="5">
        <f>перерасчет!G400</f>
        <v>45.5</v>
      </c>
      <c r="J31" s="5">
        <v>0</v>
      </c>
      <c r="K31" s="5">
        <v>0</v>
      </c>
      <c r="L31" s="5">
        <v>0</v>
      </c>
      <c r="M31" s="5">
        <v>0</v>
      </c>
      <c r="N31" s="228">
        <v>10.199999999999999</v>
      </c>
      <c r="O31" s="232">
        <f t="shared" si="0"/>
        <v>8.99</v>
      </c>
      <c r="P31" s="209">
        <f t="shared" si="1"/>
        <v>-11.862745098039213</v>
      </c>
    </row>
    <row r="32" spans="1:17" ht="16" customHeight="1" thickBot="1" x14ac:dyDescent="0.3">
      <c r="A32" s="16">
        <v>29</v>
      </c>
      <c r="B32" s="8" t="s">
        <v>429</v>
      </c>
      <c r="C32" s="221"/>
      <c r="D32" s="246">
        <f>25*85/100</f>
        <v>21.25</v>
      </c>
      <c r="E32" s="226">
        <f>перерасчет!G33-20</f>
        <v>76.75</v>
      </c>
      <c r="F32" s="37"/>
      <c r="G32" s="37"/>
      <c r="H32" s="37"/>
      <c r="I32" s="37"/>
      <c r="J32" s="37"/>
      <c r="K32" s="37">
        <f>перерасчет!F486</f>
        <v>136</v>
      </c>
      <c r="L32" s="37"/>
      <c r="M32" s="37"/>
      <c r="N32" s="229">
        <v>0</v>
      </c>
      <c r="O32" s="233">
        <f>SUM(E32:N32)/10</f>
        <v>21.274999999999999</v>
      </c>
      <c r="P32" s="214">
        <f>O32/D32%-100</f>
        <v>0.11764705882352189</v>
      </c>
    </row>
    <row r="33" spans="1:17" ht="12" customHeight="1" x14ac:dyDescent="0.25">
      <c r="A33" s="10"/>
      <c r="B33" s="10"/>
      <c r="C33" s="10"/>
      <c r="D33" s="247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7" s="1" customFormat="1" ht="12" customHeight="1" x14ac:dyDescent="0.25">
      <c r="A34" s="2"/>
      <c r="B34" s="2"/>
      <c r="C34" s="169"/>
      <c r="D34" s="169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213"/>
    </row>
    <row r="35" spans="1:17" s="1" customFormat="1" ht="12" customHeight="1" x14ac:dyDescent="0.25">
      <c r="A35" s="170"/>
      <c r="B35" s="170"/>
      <c r="C35" s="169"/>
      <c r="D35" s="169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213"/>
    </row>
  </sheetData>
  <mergeCells count="4">
    <mergeCell ref="D2:D3"/>
    <mergeCell ref="O3:O4"/>
    <mergeCell ref="E2:N3"/>
    <mergeCell ref="P3:P4"/>
  </mergeCells>
  <phoneticPr fontId="2" type="noConversion"/>
  <pageMargins left="0.47" right="0.57999999999999996" top="0.56999999999999995" bottom="0.4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51"/>
  <sheetViews>
    <sheetView topLeftCell="A13" zoomScaleNormal="100" zoomScaleSheetLayoutView="100" workbookViewId="0">
      <selection activeCell="K42" sqref="K42"/>
    </sheetView>
  </sheetViews>
  <sheetFormatPr defaultRowHeight="13" x14ac:dyDescent="0.3"/>
  <cols>
    <col min="1" max="1" width="2.26953125" style="98" customWidth="1"/>
    <col min="2" max="2" width="3.26953125" style="125" customWidth="1"/>
    <col min="3" max="3" width="18.7265625" style="98" customWidth="1"/>
    <col min="4" max="4" width="3.54296875" style="126" customWidth="1"/>
    <col min="5" max="5" width="3.453125" style="127" customWidth="1"/>
    <col min="6" max="6" width="3.26953125" style="14" customWidth="1"/>
    <col min="7" max="7" width="18.7265625" style="131" customWidth="1"/>
    <col min="8" max="8" width="5.7265625" style="127" customWidth="1"/>
    <col min="9" max="9" width="5.81640625" style="127" customWidth="1"/>
    <col min="10" max="10" width="3.26953125" style="132" customWidth="1"/>
    <col min="11" max="11" width="18.7265625" style="128" customWidth="1"/>
    <col min="12" max="12" width="5.26953125" style="127" customWidth="1"/>
    <col min="13" max="13" width="5.1796875" style="126" customWidth="1"/>
    <col min="14" max="14" width="3.81640625" style="129" customWidth="1"/>
    <col min="15" max="15" width="17.7265625" style="98" customWidth="1"/>
    <col min="16" max="16" width="5.26953125" style="126" customWidth="1"/>
    <col min="17" max="17" width="5.26953125" style="127" customWidth="1"/>
    <col min="18" max="18" width="3.26953125" style="14" customWidth="1"/>
    <col min="19" max="19" width="17.7265625" style="98" customWidth="1"/>
    <col min="20" max="20" width="3.81640625" style="127" customWidth="1"/>
    <col min="21" max="21" width="4" style="127" customWidth="1"/>
    <col min="22" max="22" width="9.1796875" style="98" customWidth="1"/>
  </cols>
  <sheetData>
    <row r="1" spans="1:22" ht="12.75" customHeight="1" x14ac:dyDescent="0.3">
      <c r="A1" s="565" t="s">
        <v>509</v>
      </c>
      <c r="B1" s="565"/>
      <c r="C1" s="565"/>
      <c r="D1" s="565"/>
      <c r="E1" s="565"/>
      <c r="F1" s="565"/>
      <c r="G1" s="565"/>
      <c r="H1" s="565"/>
      <c r="I1" s="565"/>
      <c r="J1" s="565"/>
      <c r="K1" s="565"/>
      <c r="L1" s="565"/>
      <c r="M1" s="565"/>
      <c r="N1" s="565"/>
      <c r="O1" s="565"/>
      <c r="P1" s="565"/>
      <c r="Q1" s="565"/>
      <c r="R1" s="565"/>
      <c r="S1" s="565"/>
      <c r="T1" s="565"/>
      <c r="U1" s="565"/>
    </row>
    <row r="2" spans="1:22" ht="12.75" customHeight="1" x14ac:dyDescent="0.3">
      <c r="A2" s="565"/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  <c r="R2" s="565"/>
      <c r="S2" s="565"/>
      <c r="T2" s="565"/>
      <c r="U2" s="565"/>
    </row>
    <row r="3" spans="1:22" ht="13.5" customHeight="1" thickBot="1" x14ac:dyDescent="0.35">
      <c r="A3" s="566"/>
      <c r="B3" s="566"/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  <c r="N3" s="566"/>
      <c r="O3" s="566"/>
      <c r="P3" s="566"/>
      <c r="Q3" s="566"/>
      <c r="R3" s="566"/>
      <c r="S3" s="566"/>
      <c r="T3" s="566"/>
      <c r="U3" s="566"/>
    </row>
    <row r="4" spans="1:22" ht="14.5" thickBot="1" x14ac:dyDescent="0.35">
      <c r="A4" s="118"/>
      <c r="B4" s="77" t="s">
        <v>219</v>
      </c>
      <c r="C4" s="78" t="s">
        <v>127</v>
      </c>
      <c r="D4" s="579" t="s">
        <v>81</v>
      </c>
      <c r="E4" s="580"/>
      <c r="F4" s="177" t="s">
        <v>219</v>
      </c>
      <c r="G4" s="41" t="s">
        <v>127</v>
      </c>
      <c r="H4" s="560" t="s">
        <v>81</v>
      </c>
      <c r="I4" s="561"/>
      <c r="J4" s="178" t="s">
        <v>219</v>
      </c>
      <c r="K4" s="41" t="s">
        <v>127</v>
      </c>
      <c r="L4" s="560" t="s">
        <v>81</v>
      </c>
      <c r="M4" s="561"/>
      <c r="N4" s="80" t="s">
        <v>219</v>
      </c>
      <c r="O4" s="41" t="s">
        <v>127</v>
      </c>
      <c r="P4" s="560" t="s">
        <v>81</v>
      </c>
      <c r="Q4" s="561"/>
      <c r="R4" s="178" t="s">
        <v>219</v>
      </c>
      <c r="S4" s="41" t="s">
        <v>127</v>
      </c>
      <c r="T4" s="560" t="s">
        <v>81</v>
      </c>
      <c r="U4" s="561"/>
    </row>
    <row r="5" spans="1:22" ht="15.75" customHeight="1" thickBot="1" x14ac:dyDescent="0.35">
      <c r="A5" s="562" t="s">
        <v>1</v>
      </c>
      <c r="B5" s="567" t="s">
        <v>93</v>
      </c>
      <c r="C5" s="568"/>
      <c r="D5" s="119" t="s">
        <v>240</v>
      </c>
      <c r="E5" s="120" t="s">
        <v>241</v>
      </c>
      <c r="F5" s="567" t="s">
        <v>94</v>
      </c>
      <c r="G5" s="568"/>
      <c r="H5" s="119" t="s">
        <v>240</v>
      </c>
      <c r="I5" s="120" t="s">
        <v>241</v>
      </c>
      <c r="J5" s="567" t="s">
        <v>102</v>
      </c>
      <c r="K5" s="568"/>
      <c r="L5" s="119" t="s">
        <v>240</v>
      </c>
      <c r="M5" s="120" t="s">
        <v>241</v>
      </c>
      <c r="N5" s="567" t="s">
        <v>109</v>
      </c>
      <c r="O5" s="568"/>
      <c r="P5" s="119" t="s">
        <v>240</v>
      </c>
      <c r="Q5" s="120" t="s">
        <v>241</v>
      </c>
      <c r="R5" s="567" t="s">
        <v>120</v>
      </c>
      <c r="S5" s="568"/>
      <c r="T5" s="119" t="s">
        <v>240</v>
      </c>
      <c r="U5" s="121" t="s">
        <v>241</v>
      </c>
    </row>
    <row r="6" spans="1:22" x14ac:dyDescent="0.3">
      <c r="A6" s="563"/>
      <c r="B6" s="48">
        <v>168</v>
      </c>
      <c r="C6" s="44" t="s">
        <v>457</v>
      </c>
      <c r="D6" s="45">
        <v>130</v>
      </c>
      <c r="E6" s="92">
        <v>150</v>
      </c>
      <c r="F6" s="48">
        <v>235</v>
      </c>
      <c r="G6" s="44" t="s">
        <v>263</v>
      </c>
      <c r="H6" s="59">
        <v>90</v>
      </c>
      <c r="I6" s="60">
        <v>100</v>
      </c>
      <c r="J6" s="62">
        <v>185</v>
      </c>
      <c r="K6" s="44" t="s">
        <v>381</v>
      </c>
      <c r="L6" s="57">
        <v>130</v>
      </c>
      <c r="M6" s="143">
        <v>150</v>
      </c>
      <c r="N6" s="48">
        <v>216</v>
      </c>
      <c r="O6" s="44" t="s">
        <v>110</v>
      </c>
      <c r="P6" s="59">
        <v>130</v>
      </c>
      <c r="Q6" s="143">
        <v>150</v>
      </c>
      <c r="R6" s="48">
        <v>185</v>
      </c>
      <c r="S6" s="44" t="s">
        <v>459</v>
      </c>
      <c r="T6" s="57">
        <v>130</v>
      </c>
      <c r="U6" s="65">
        <v>150</v>
      </c>
    </row>
    <row r="7" spans="1:22" x14ac:dyDescent="0.3">
      <c r="A7" s="563"/>
      <c r="B7" s="23">
        <v>1</v>
      </c>
      <c r="C7" s="22" t="s">
        <v>473</v>
      </c>
      <c r="D7" s="46">
        <v>24</v>
      </c>
      <c r="E7" s="93">
        <v>30</v>
      </c>
      <c r="F7" s="23">
        <v>351</v>
      </c>
      <c r="G7" s="22" t="s">
        <v>252</v>
      </c>
      <c r="H7" s="24">
        <v>30</v>
      </c>
      <c r="I7" s="55">
        <v>30</v>
      </c>
      <c r="J7" s="38">
        <v>1</v>
      </c>
      <c r="K7" s="22" t="s">
        <v>473</v>
      </c>
      <c r="L7" s="58">
        <v>24</v>
      </c>
      <c r="M7" s="64">
        <v>30</v>
      </c>
      <c r="N7" s="23">
        <v>1</v>
      </c>
      <c r="O7" s="22" t="s">
        <v>473</v>
      </c>
      <c r="P7" s="58">
        <v>24</v>
      </c>
      <c r="Q7" s="64">
        <v>30</v>
      </c>
      <c r="R7" s="23">
        <v>1</v>
      </c>
      <c r="S7" s="22" t="s">
        <v>473</v>
      </c>
      <c r="T7" s="58">
        <v>24</v>
      </c>
      <c r="U7" s="61">
        <v>30</v>
      </c>
    </row>
    <row r="8" spans="1:22" x14ac:dyDescent="0.3">
      <c r="A8" s="563"/>
      <c r="B8" s="23">
        <v>6</v>
      </c>
      <c r="C8" s="22" t="s">
        <v>29</v>
      </c>
      <c r="D8" s="50">
        <v>5</v>
      </c>
      <c r="E8" s="52">
        <v>5</v>
      </c>
      <c r="F8" s="183">
        <v>394</v>
      </c>
      <c r="G8" s="22" t="s">
        <v>52</v>
      </c>
      <c r="H8" s="24">
        <v>150</v>
      </c>
      <c r="I8" s="55">
        <v>180</v>
      </c>
      <c r="J8" s="38">
        <v>7</v>
      </c>
      <c r="K8" s="22" t="s">
        <v>87</v>
      </c>
      <c r="L8" s="24">
        <v>5</v>
      </c>
      <c r="M8" s="25">
        <v>5</v>
      </c>
      <c r="N8" s="23">
        <v>6</v>
      </c>
      <c r="O8" s="22" t="s">
        <v>29</v>
      </c>
      <c r="P8" s="24">
        <v>5</v>
      </c>
      <c r="Q8" s="25">
        <v>5</v>
      </c>
      <c r="R8" s="23">
        <v>7</v>
      </c>
      <c r="S8" s="22" t="s">
        <v>87</v>
      </c>
      <c r="T8" s="24">
        <v>5</v>
      </c>
      <c r="U8" s="55">
        <v>10</v>
      </c>
    </row>
    <row r="9" spans="1:22" ht="13.5" thickBot="1" x14ac:dyDescent="0.35">
      <c r="A9" s="564"/>
      <c r="B9" s="32">
        <v>395</v>
      </c>
      <c r="C9" s="26" t="s">
        <v>74</v>
      </c>
      <c r="D9" s="27">
        <v>150</v>
      </c>
      <c r="E9" s="140">
        <v>180</v>
      </c>
      <c r="F9" s="32">
        <v>1</v>
      </c>
      <c r="G9" s="26" t="s">
        <v>473</v>
      </c>
      <c r="H9" s="76">
        <v>24</v>
      </c>
      <c r="I9" s="151">
        <v>30</v>
      </c>
      <c r="J9" s="84">
        <v>397</v>
      </c>
      <c r="K9" s="26" t="s">
        <v>55</v>
      </c>
      <c r="L9" s="31">
        <v>150</v>
      </c>
      <c r="M9" s="144">
        <v>180</v>
      </c>
      <c r="N9" s="32">
        <v>400</v>
      </c>
      <c r="O9" s="26" t="s">
        <v>105</v>
      </c>
      <c r="P9" s="31">
        <v>150</v>
      </c>
      <c r="Q9" s="144">
        <v>180</v>
      </c>
      <c r="R9" s="32">
        <v>394</v>
      </c>
      <c r="S9" s="26" t="s">
        <v>52</v>
      </c>
      <c r="T9" s="67">
        <v>150</v>
      </c>
      <c r="U9" s="146">
        <v>180</v>
      </c>
    </row>
    <row r="10" spans="1:22" ht="13.5" thickBot="1" x14ac:dyDescent="0.35">
      <c r="A10" s="122" t="s">
        <v>88</v>
      </c>
      <c r="B10" s="68">
        <v>399</v>
      </c>
      <c r="C10" s="71" t="s">
        <v>89</v>
      </c>
      <c r="D10" s="133">
        <v>200</v>
      </c>
      <c r="E10" s="133">
        <v>180</v>
      </c>
      <c r="F10" s="68">
        <v>368</v>
      </c>
      <c r="G10" s="105" t="s">
        <v>224</v>
      </c>
      <c r="H10" s="106">
        <v>95</v>
      </c>
      <c r="I10" s="106">
        <v>100</v>
      </c>
      <c r="J10" s="68">
        <v>399</v>
      </c>
      <c r="K10" s="105" t="s">
        <v>89</v>
      </c>
      <c r="L10" s="106">
        <v>200</v>
      </c>
      <c r="M10" s="106">
        <v>180</v>
      </c>
      <c r="N10" s="68">
        <v>401</v>
      </c>
      <c r="O10" s="22" t="s">
        <v>178</v>
      </c>
      <c r="P10" s="106">
        <v>150</v>
      </c>
      <c r="Q10" s="106">
        <v>180</v>
      </c>
      <c r="R10" s="68">
        <v>399</v>
      </c>
      <c r="S10" s="105" t="s">
        <v>89</v>
      </c>
      <c r="T10" s="106">
        <v>200</v>
      </c>
      <c r="U10" s="106">
        <v>180</v>
      </c>
    </row>
    <row r="11" spans="1:22" ht="12.75" customHeight="1" x14ac:dyDescent="0.3">
      <c r="A11" s="562" t="s">
        <v>3</v>
      </c>
      <c r="B11" s="48">
        <v>45</v>
      </c>
      <c r="C11" s="44" t="s">
        <v>368</v>
      </c>
      <c r="D11" s="59">
        <v>30</v>
      </c>
      <c r="E11" s="63">
        <v>50</v>
      </c>
      <c r="F11" s="248">
        <v>14</v>
      </c>
      <c r="G11" s="44" t="s">
        <v>502</v>
      </c>
      <c r="H11" s="45">
        <v>30</v>
      </c>
      <c r="I11" s="49"/>
      <c r="J11" s="62">
        <v>15</v>
      </c>
      <c r="K11" s="44" t="s">
        <v>375</v>
      </c>
      <c r="L11" s="59">
        <v>45</v>
      </c>
      <c r="M11" s="60">
        <v>60</v>
      </c>
      <c r="N11" s="48">
        <v>33</v>
      </c>
      <c r="O11" s="44" t="s">
        <v>353</v>
      </c>
      <c r="P11" s="59">
        <v>30</v>
      </c>
      <c r="Q11" s="63">
        <v>50</v>
      </c>
      <c r="R11" s="48">
        <v>25</v>
      </c>
      <c r="S11" s="44" t="s">
        <v>261</v>
      </c>
      <c r="T11" s="59">
        <v>30</v>
      </c>
      <c r="U11" s="60">
        <v>50</v>
      </c>
    </row>
    <row r="12" spans="1:22" s="3" customFormat="1" x14ac:dyDescent="0.3">
      <c r="A12" s="563"/>
      <c r="B12" s="23">
        <v>87</v>
      </c>
      <c r="C12" s="22" t="s">
        <v>147</v>
      </c>
      <c r="D12" s="50">
        <v>150</v>
      </c>
      <c r="E12" s="52">
        <v>180</v>
      </c>
      <c r="F12" s="249">
        <v>10</v>
      </c>
      <c r="G12" s="22" t="s">
        <v>467</v>
      </c>
      <c r="H12" s="50"/>
      <c r="I12" s="51">
        <v>50</v>
      </c>
      <c r="J12" s="38">
        <v>81</v>
      </c>
      <c r="K12" s="22" t="s">
        <v>253</v>
      </c>
      <c r="L12" s="24">
        <v>150</v>
      </c>
      <c r="M12" s="25">
        <v>180</v>
      </c>
      <c r="N12" s="23">
        <v>75</v>
      </c>
      <c r="O12" s="22" t="s">
        <v>372</v>
      </c>
      <c r="P12" s="53">
        <v>180</v>
      </c>
      <c r="Q12" s="54">
        <v>180</v>
      </c>
      <c r="R12" s="23">
        <v>86</v>
      </c>
      <c r="S12" s="22" t="s">
        <v>239</v>
      </c>
      <c r="T12" s="53" t="s">
        <v>189</v>
      </c>
      <c r="U12" s="56" t="s">
        <v>190</v>
      </c>
      <c r="V12" s="98"/>
    </row>
    <row r="13" spans="1:22" x14ac:dyDescent="0.3">
      <c r="A13" s="563"/>
      <c r="B13" s="23">
        <v>277</v>
      </c>
      <c r="C13" s="22" t="s">
        <v>227</v>
      </c>
      <c r="D13" s="85">
        <v>50</v>
      </c>
      <c r="E13" s="142">
        <v>60</v>
      </c>
      <c r="F13" s="23">
        <v>67</v>
      </c>
      <c r="G13" s="22" t="s">
        <v>254</v>
      </c>
      <c r="H13" s="24">
        <v>150</v>
      </c>
      <c r="I13" s="55">
        <v>180</v>
      </c>
      <c r="J13" s="38">
        <v>278</v>
      </c>
      <c r="K13" s="403" t="s">
        <v>515</v>
      </c>
      <c r="L13" s="24">
        <v>50</v>
      </c>
      <c r="M13" s="25">
        <v>60</v>
      </c>
      <c r="N13" s="23">
        <v>276</v>
      </c>
      <c r="O13" s="22" t="s">
        <v>260</v>
      </c>
      <c r="P13" s="53">
        <v>160</v>
      </c>
      <c r="Q13" s="54">
        <v>200</v>
      </c>
      <c r="R13" s="23">
        <v>306</v>
      </c>
      <c r="S13" s="22" t="s">
        <v>257</v>
      </c>
      <c r="T13" s="24">
        <v>50</v>
      </c>
      <c r="U13" s="55">
        <v>60</v>
      </c>
    </row>
    <row r="14" spans="1:22" x14ac:dyDescent="0.3">
      <c r="A14" s="563"/>
      <c r="B14" s="23">
        <v>313</v>
      </c>
      <c r="C14" s="22" t="s">
        <v>383</v>
      </c>
      <c r="D14" s="50">
        <v>100</v>
      </c>
      <c r="E14" s="52">
        <v>150</v>
      </c>
      <c r="F14" s="23">
        <v>282</v>
      </c>
      <c r="G14" s="22" t="s">
        <v>306</v>
      </c>
      <c r="H14" s="24">
        <v>50</v>
      </c>
      <c r="I14" s="55">
        <v>60</v>
      </c>
      <c r="J14" s="38">
        <v>205</v>
      </c>
      <c r="K14" s="22" t="s">
        <v>371</v>
      </c>
      <c r="L14" s="50">
        <v>110</v>
      </c>
      <c r="M14" s="52">
        <v>130</v>
      </c>
      <c r="N14" s="23">
        <v>382</v>
      </c>
      <c r="O14" s="22" t="s">
        <v>136</v>
      </c>
      <c r="P14" s="24">
        <v>150</v>
      </c>
      <c r="Q14" s="25">
        <v>180</v>
      </c>
      <c r="R14" s="23">
        <v>132</v>
      </c>
      <c r="S14" s="22" t="s">
        <v>262</v>
      </c>
      <c r="T14" s="24">
        <v>150</v>
      </c>
      <c r="U14" s="55">
        <v>150</v>
      </c>
    </row>
    <row r="15" spans="1:22" x14ac:dyDescent="0.3">
      <c r="A15" s="563"/>
      <c r="B15" s="23">
        <v>376</v>
      </c>
      <c r="C15" s="22" t="s">
        <v>456</v>
      </c>
      <c r="D15" s="50">
        <v>150</v>
      </c>
      <c r="E15" s="52">
        <v>180</v>
      </c>
      <c r="F15" s="23">
        <v>133</v>
      </c>
      <c r="G15" s="22" t="s">
        <v>311</v>
      </c>
      <c r="H15" s="24">
        <v>110</v>
      </c>
      <c r="I15" s="55">
        <v>130</v>
      </c>
      <c r="J15" s="38">
        <v>376</v>
      </c>
      <c r="K15" s="22" t="s">
        <v>357</v>
      </c>
      <c r="L15" s="24">
        <v>150</v>
      </c>
      <c r="M15" s="25">
        <v>180</v>
      </c>
      <c r="N15" s="23">
        <v>1</v>
      </c>
      <c r="O15" s="22" t="s">
        <v>177</v>
      </c>
      <c r="P15" s="58">
        <v>20</v>
      </c>
      <c r="Q15" s="64">
        <v>25</v>
      </c>
      <c r="R15" s="23">
        <v>398</v>
      </c>
      <c r="S15" s="22" t="s">
        <v>168</v>
      </c>
      <c r="T15" s="24">
        <v>150</v>
      </c>
      <c r="U15" s="55">
        <v>180</v>
      </c>
    </row>
    <row r="16" spans="1:22" x14ac:dyDescent="0.3">
      <c r="A16" s="563"/>
      <c r="B16" s="23">
        <v>1</v>
      </c>
      <c r="C16" s="22" t="s">
        <v>177</v>
      </c>
      <c r="D16" s="46">
        <v>20</v>
      </c>
      <c r="E16" s="93">
        <v>25</v>
      </c>
      <c r="F16" s="23">
        <v>376</v>
      </c>
      <c r="G16" s="22" t="s">
        <v>412</v>
      </c>
      <c r="H16" s="58">
        <v>150</v>
      </c>
      <c r="I16" s="61">
        <v>180</v>
      </c>
      <c r="J16" s="38">
        <v>1</v>
      </c>
      <c r="K16" s="22" t="s">
        <v>76</v>
      </c>
      <c r="L16" s="58">
        <v>20</v>
      </c>
      <c r="M16" s="64">
        <v>25</v>
      </c>
      <c r="N16" s="23">
        <v>1</v>
      </c>
      <c r="O16" s="22" t="s">
        <v>184</v>
      </c>
      <c r="P16" s="24">
        <v>17</v>
      </c>
      <c r="Q16" s="25">
        <v>21</v>
      </c>
      <c r="R16" s="23">
        <v>1</v>
      </c>
      <c r="S16" s="22" t="s">
        <v>177</v>
      </c>
      <c r="T16" s="58">
        <v>20</v>
      </c>
      <c r="U16" s="61">
        <v>25</v>
      </c>
    </row>
    <row r="17" spans="1:21" x14ac:dyDescent="0.3">
      <c r="A17" s="563"/>
      <c r="B17" s="23">
        <v>1</v>
      </c>
      <c r="C17" s="22" t="s">
        <v>184</v>
      </c>
      <c r="D17" s="50">
        <v>17</v>
      </c>
      <c r="E17" s="52">
        <v>21</v>
      </c>
      <c r="F17" s="23">
        <v>1</v>
      </c>
      <c r="G17" s="22" t="s">
        <v>177</v>
      </c>
      <c r="H17" s="58">
        <v>20</v>
      </c>
      <c r="I17" s="61">
        <v>25</v>
      </c>
      <c r="J17" s="150">
        <v>1</v>
      </c>
      <c r="K17" s="36" t="s">
        <v>18</v>
      </c>
      <c r="L17" s="21">
        <v>17</v>
      </c>
      <c r="M17" s="29">
        <v>21</v>
      </c>
      <c r="N17" s="23"/>
      <c r="O17" s="22"/>
      <c r="P17" s="24"/>
      <c r="Q17" s="25"/>
      <c r="R17" s="23">
        <v>1</v>
      </c>
      <c r="S17" s="22" t="s">
        <v>184</v>
      </c>
      <c r="T17" s="24">
        <v>17</v>
      </c>
      <c r="U17" s="55">
        <v>21</v>
      </c>
    </row>
    <row r="18" spans="1:21" ht="12.75" customHeight="1" thickBot="1" x14ac:dyDescent="0.35">
      <c r="A18" s="563"/>
      <c r="B18" s="32"/>
      <c r="C18" s="26"/>
      <c r="D18" s="27"/>
      <c r="E18" s="140"/>
      <c r="F18" s="32">
        <v>1</v>
      </c>
      <c r="G18" s="26" t="s">
        <v>184</v>
      </c>
      <c r="H18" s="31">
        <v>17</v>
      </c>
      <c r="I18" s="39">
        <v>21</v>
      </c>
      <c r="J18" s="150"/>
      <c r="K18" s="36"/>
      <c r="L18" s="21"/>
      <c r="M18" s="29"/>
      <c r="N18" s="32"/>
      <c r="O18" s="201"/>
      <c r="P18" s="26"/>
      <c r="Q18" s="144"/>
      <c r="R18" s="202"/>
      <c r="S18" s="26"/>
      <c r="T18" s="31"/>
      <c r="U18" s="39"/>
    </row>
    <row r="19" spans="1:21" ht="12.75" customHeight="1" x14ac:dyDescent="0.3">
      <c r="A19" s="571" t="s">
        <v>4</v>
      </c>
      <c r="B19" s="48">
        <v>302</v>
      </c>
      <c r="C19" s="44" t="s">
        <v>270</v>
      </c>
      <c r="D19" s="45">
        <v>150</v>
      </c>
      <c r="E19" s="92">
        <v>190</v>
      </c>
      <c r="F19" s="43">
        <v>320</v>
      </c>
      <c r="G19" s="97" t="s">
        <v>267</v>
      </c>
      <c r="H19" s="112">
        <v>100</v>
      </c>
      <c r="I19" s="139">
        <v>130</v>
      </c>
      <c r="J19" s="48">
        <v>291</v>
      </c>
      <c r="K19" s="44" t="s">
        <v>228</v>
      </c>
      <c r="L19" s="57" t="s">
        <v>170</v>
      </c>
      <c r="M19" s="65" t="s">
        <v>437</v>
      </c>
      <c r="N19" s="141">
        <v>231</v>
      </c>
      <c r="O19" s="97" t="s">
        <v>448</v>
      </c>
      <c r="P19" s="112">
        <v>50</v>
      </c>
      <c r="Q19" s="147">
        <v>100</v>
      </c>
      <c r="R19" s="48">
        <v>252</v>
      </c>
      <c r="S19" s="44" t="s">
        <v>460</v>
      </c>
      <c r="T19" s="59">
        <v>60</v>
      </c>
      <c r="U19" s="60">
        <v>80</v>
      </c>
    </row>
    <row r="20" spans="1:21" x14ac:dyDescent="0.3">
      <c r="A20" s="572"/>
      <c r="B20" s="23">
        <v>1</v>
      </c>
      <c r="C20" s="22" t="s">
        <v>184</v>
      </c>
      <c r="D20" s="50">
        <v>17</v>
      </c>
      <c r="E20" s="52">
        <v>21</v>
      </c>
      <c r="F20" s="23">
        <v>310</v>
      </c>
      <c r="G20" s="22" t="s">
        <v>314</v>
      </c>
      <c r="H20" s="24">
        <v>50</v>
      </c>
      <c r="I20" s="55">
        <v>60</v>
      </c>
      <c r="J20" s="23">
        <v>8</v>
      </c>
      <c r="K20" s="22"/>
      <c r="L20" s="30" t="s">
        <v>360</v>
      </c>
      <c r="M20" s="66"/>
      <c r="N20" s="38" t="s">
        <v>439</v>
      </c>
      <c r="O20" s="22" t="s">
        <v>551</v>
      </c>
      <c r="P20" s="24">
        <v>20</v>
      </c>
      <c r="Q20" s="25">
        <v>20</v>
      </c>
      <c r="R20" s="23">
        <v>315</v>
      </c>
      <c r="S20" s="22" t="s">
        <v>461</v>
      </c>
      <c r="T20" s="24">
        <v>110</v>
      </c>
      <c r="U20" s="55">
        <v>130</v>
      </c>
    </row>
    <row r="21" spans="1:21" x14ac:dyDescent="0.3">
      <c r="A21" s="572"/>
      <c r="B21" s="23">
        <v>400</v>
      </c>
      <c r="C21" s="22" t="s">
        <v>433</v>
      </c>
      <c r="D21" s="85">
        <v>150</v>
      </c>
      <c r="E21" s="142">
        <v>180</v>
      </c>
      <c r="F21" s="23">
        <v>401</v>
      </c>
      <c r="G21" s="22" t="s">
        <v>178</v>
      </c>
      <c r="H21" s="24">
        <v>150</v>
      </c>
      <c r="I21" s="55">
        <v>180</v>
      </c>
      <c r="J21" s="23">
        <v>392</v>
      </c>
      <c r="K21" s="22" t="s">
        <v>556</v>
      </c>
      <c r="L21" s="53">
        <v>150</v>
      </c>
      <c r="M21" s="56">
        <v>180</v>
      </c>
      <c r="N21" s="38">
        <v>392</v>
      </c>
      <c r="O21" s="98" t="s">
        <v>556</v>
      </c>
      <c r="P21" s="24">
        <v>150</v>
      </c>
      <c r="Q21" s="25">
        <v>180</v>
      </c>
      <c r="R21" s="23">
        <v>1</v>
      </c>
      <c r="S21" s="22" t="s">
        <v>184</v>
      </c>
      <c r="T21" s="24">
        <v>17</v>
      </c>
      <c r="U21" s="55">
        <v>21</v>
      </c>
    </row>
    <row r="22" spans="1:21" x14ac:dyDescent="0.3">
      <c r="A22" s="572"/>
      <c r="B22" s="23">
        <v>496</v>
      </c>
      <c r="C22" s="22" t="s">
        <v>458</v>
      </c>
      <c r="D22" s="50">
        <v>50</v>
      </c>
      <c r="E22" s="52">
        <v>50</v>
      </c>
      <c r="F22" s="23">
        <v>1</v>
      </c>
      <c r="G22" s="22" t="s">
        <v>184</v>
      </c>
      <c r="H22" s="24">
        <v>17</v>
      </c>
      <c r="I22" s="55">
        <v>21</v>
      </c>
      <c r="J22" s="23">
        <v>1</v>
      </c>
      <c r="K22" s="22" t="s">
        <v>177</v>
      </c>
      <c r="L22" s="24">
        <v>17</v>
      </c>
      <c r="M22" s="55">
        <v>21</v>
      </c>
      <c r="N22" s="38">
        <v>1</v>
      </c>
      <c r="O22" s="22" t="s">
        <v>184</v>
      </c>
      <c r="P22" s="24">
        <v>17</v>
      </c>
      <c r="Q22" s="25">
        <v>21</v>
      </c>
      <c r="R22" s="23">
        <v>392</v>
      </c>
      <c r="S22" s="22" t="s">
        <v>215</v>
      </c>
      <c r="T22" s="53" t="s">
        <v>220</v>
      </c>
      <c r="U22" s="56" t="s">
        <v>226</v>
      </c>
    </row>
    <row r="23" spans="1:21" ht="13.5" thickBot="1" x14ac:dyDescent="0.35">
      <c r="A23" s="573"/>
      <c r="B23" s="32"/>
      <c r="C23" s="26"/>
      <c r="D23" s="27"/>
      <c r="E23" s="140"/>
      <c r="F23" s="32"/>
      <c r="G23" s="26"/>
      <c r="H23" s="31"/>
      <c r="I23" s="144"/>
      <c r="J23" s="32"/>
      <c r="K23" s="402" t="s">
        <v>308</v>
      </c>
      <c r="L23" s="31">
        <v>20</v>
      </c>
      <c r="M23" s="39">
        <v>40</v>
      </c>
      <c r="N23" s="145"/>
      <c r="O23" s="26"/>
      <c r="P23" s="27"/>
      <c r="Q23" s="140"/>
      <c r="R23" s="32"/>
      <c r="S23" s="26"/>
      <c r="T23" s="31"/>
      <c r="U23" s="39"/>
    </row>
    <row r="24" spans="1:21" ht="14.5" thickBot="1" x14ac:dyDescent="0.35">
      <c r="A24" s="123"/>
      <c r="B24" s="81"/>
      <c r="C24" s="40"/>
      <c r="D24" s="82"/>
      <c r="E24" s="82"/>
      <c r="F24" s="81"/>
      <c r="G24" s="40"/>
      <c r="H24" s="82"/>
      <c r="I24" s="82"/>
      <c r="J24" s="43"/>
      <c r="K24" s="250"/>
      <c r="L24" s="44"/>
      <c r="M24" s="45"/>
      <c r="N24" s="92"/>
      <c r="O24" s="71"/>
      <c r="P24" s="133"/>
      <c r="Q24" s="134"/>
      <c r="R24" s="81"/>
      <c r="S24" s="40"/>
      <c r="T24" s="82"/>
      <c r="U24" s="83"/>
    </row>
    <row r="25" spans="1:21" ht="15.75" customHeight="1" thickBot="1" x14ac:dyDescent="0.35">
      <c r="A25" s="574" t="s">
        <v>1</v>
      </c>
      <c r="B25" s="79" t="s">
        <v>219</v>
      </c>
      <c r="C25" s="42" t="s">
        <v>127</v>
      </c>
      <c r="D25" s="560" t="s">
        <v>81</v>
      </c>
      <c r="E25" s="578"/>
      <c r="F25" s="79" t="s">
        <v>219</v>
      </c>
      <c r="G25" s="42" t="s">
        <v>127</v>
      </c>
      <c r="H25" s="560" t="s">
        <v>81</v>
      </c>
      <c r="I25" s="561"/>
      <c r="J25" s="75" t="s">
        <v>219</v>
      </c>
      <c r="K25" s="41" t="s">
        <v>127</v>
      </c>
      <c r="L25" s="560" t="s">
        <v>81</v>
      </c>
      <c r="M25" s="561"/>
      <c r="N25" s="80" t="s">
        <v>219</v>
      </c>
      <c r="O25" s="41" t="s">
        <v>127</v>
      </c>
      <c r="P25" s="560" t="s">
        <v>81</v>
      </c>
      <c r="Q25" s="561"/>
      <c r="R25" s="79" t="s">
        <v>219</v>
      </c>
      <c r="S25" s="42" t="s">
        <v>127</v>
      </c>
      <c r="T25" s="560" t="s">
        <v>81</v>
      </c>
      <c r="U25" s="561"/>
    </row>
    <row r="26" spans="1:21" ht="14.5" thickBot="1" x14ac:dyDescent="0.35">
      <c r="A26" s="575"/>
      <c r="B26" s="569" t="s">
        <v>128</v>
      </c>
      <c r="C26" s="570"/>
      <c r="D26" s="119" t="s">
        <v>240</v>
      </c>
      <c r="E26" s="120" t="s">
        <v>241</v>
      </c>
      <c r="F26" s="567" t="s">
        <v>129</v>
      </c>
      <c r="G26" s="568"/>
      <c r="H26" s="119" t="s">
        <v>240</v>
      </c>
      <c r="I26" s="121" t="s">
        <v>241</v>
      </c>
      <c r="J26" s="567" t="s">
        <v>130</v>
      </c>
      <c r="K26" s="568"/>
      <c r="L26" s="119" t="s">
        <v>240</v>
      </c>
      <c r="M26" s="120" t="s">
        <v>241</v>
      </c>
      <c r="N26" s="567" t="s">
        <v>131</v>
      </c>
      <c r="O26" s="568"/>
      <c r="P26" s="119" t="s">
        <v>240</v>
      </c>
      <c r="Q26" s="120" t="s">
        <v>241</v>
      </c>
      <c r="R26" s="567" t="s">
        <v>145</v>
      </c>
      <c r="S26" s="568"/>
      <c r="T26" s="119" t="s">
        <v>240</v>
      </c>
      <c r="U26" s="121" t="s">
        <v>241</v>
      </c>
    </row>
    <row r="27" spans="1:21" x14ac:dyDescent="0.3">
      <c r="A27" s="576"/>
      <c r="B27" s="48">
        <v>185</v>
      </c>
      <c r="C27" s="44" t="s">
        <v>103</v>
      </c>
      <c r="D27" s="45">
        <v>150</v>
      </c>
      <c r="E27" s="49">
        <v>150</v>
      </c>
      <c r="F27" s="48">
        <v>237</v>
      </c>
      <c r="G27" s="44" t="s">
        <v>361</v>
      </c>
      <c r="H27" s="57" t="s">
        <v>101</v>
      </c>
      <c r="I27" s="143" t="s">
        <v>101</v>
      </c>
      <c r="J27" s="48">
        <v>215</v>
      </c>
      <c r="K27" s="44" t="s">
        <v>132</v>
      </c>
      <c r="L27" s="57" t="s">
        <v>436</v>
      </c>
      <c r="M27" s="65" t="s">
        <v>436</v>
      </c>
      <c r="N27" s="48">
        <v>207</v>
      </c>
      <c r="O27" s="44" t="s">
        <v>463</v>
      </c>
      <c r="P27" s="59">
        <v>150</v>
      </c>
      <c r="Q27" s="60">
        <v>200</v>
      </c>
      <c r="R27" s="48">
        <v>168</v>
      </c>
      <c r="S27" s="44" t="s">
        <v>377</v>
      </c>
      <c r="T27" s="59">
        <v>150</v>
      </c>
      <c r="U27" s="60">
        <v>200</v>
      </c>
    </row>
    <row r="28" spans="1:21" x14ac:dyDescent="0.3">
      <c r="A28" s="576"/>
      <c r="B28" s="23">
        <v>3</v>
      </c>
      <c r="C28" s="22" t="s">
        <v>259</v>
      </c>
      <c r="D28" s="86" t="s">
        <v>552</v>
      </c>
      <c r="E28" s="87" t="s">
        <v>553</v>
      </c>
      <c r="F28" s="23">
        <v>1</v>
      </c>
      <c r="G28" s="22" t="s">
        <v>473</v>
      </c>
      <c r="H28" s="58">
        <v>24</v>
      </c>
      <c r="I28" s="64">
        <v>30</v>
      </c>
      <c r="J28" s="23">
        <v>1</v>
      </c>
      <c r="K28" s="22" t="s">
        <v>473</v>
      </c>
      <c r="L28" s="58">
        <v>24</v>
      </c>
      <c r="M28" s="61">
        <v>30</v>
      </c>
      <c r="N28" s="23">
        <v>1</v>
      </c>
      <c r="O28" s="22" t="s">
        <v>473</v>
      </c>
      <c r="P28" s="58">
        <v>24</v>
      </c>
      <c r="Q28" s="61">
        <v>30</v>
      </c>
      <c r="R28" s="23">
        <v>3</v>
      </c>
      <c r="S28" s="22" t="s">
        <v>473</v>
      </c>
      <c r="T28" s="69" t="s">
        <v>244</v>
      </c>
      <c r="U28" s="70" t="s">
        <v>562</v>
      </c>
    </row>
    <row r="29" spans="1:21" ht="13.5" thickBot="1" x14ac:dyDescent="0.35">
      <c r="A29" s="576"/>
      <c r="B29" s="23">
        <v>397</v>
      </c>
      <c r="C29" s="22" t="s">
        <v>55</v>
      </c>
      <c r="D29" s="50">
        <v>150</v>
      </c>
      <c r="E29" s="51">
        <v>180</v>
      </c>
      <c r="F29" s="23">
        <v>7</v>
      </c>
      <c r="G29" s="22"/>
      <c r="H29" s="24"/>
      <c r="I29" s="25"/>
      <c r="J29" s="23">
        <v>7</v>
      </c>
      <c r="K29" s="22" t="s">
        <v>87</v>
      </c>
      <c r="L29" s="24">
        <v>5</v>
      </c>
      <c r="M29" s="55">
        <v>5</v>
      </c>
      <c r="N29" s="23">
        <v>6</v>
      </c>
      <c r="O29" s="22" t="s">
        <v>29</v>
      </c>
      <c r="P29" s="24">
        <v>10</v>
      </c>
      <c r="Q29" s="55">
        <v>10</v>
      </c>
      <c r="R29" s="35">
        <v>394</v>
      </c>
      <c r="S29" s="36" t="s">
        <v>52</v>
      </c>
      <c r="T29" s="203">
        <v>150</v>
      </c>
      <c r="U29" s="204">
        <v>180</v>
      </c>
    </row>
    <row r="30" spans="1:21" ht="13.5" thickBot="1" x14ac:dyDescent="0.35">
      <c r="A30" s="577"/>
      <c r="B30" s="32"/>
      <c r="C30" s="26"/>
      <c r="D30" s="88"/>
      <c r="E30" s="89"/>
      <c r="F30" s="32">
        <v>392</v>
      </c>
      <c r="G30" s="26" t="s">
        <v>369</v>
      </c>
      <c r="H30" s="31">
        <v>150</v>
      </c>
      <c r="I30" s="144">
        <v>180</v>
      </c>
      <c r="J30" s="32">
        <v>396</v>
      </c>
      <c r="K30" s="26" t="s">
        <v>217</v>
      </c>
      <c r="L30" s="31">
        <v>150</v>
      </c>
      <c r="M30" s="39">
        <v>180</v>
      </c>
      <c r="N30" s="32">
        <v>397</v>
      </c>
      <c r="O30" s="26" t="s">
        <v>55</v>
      </c>
      <c r="P30" s="31">
        <v>150</v>
      </c>
      <c r="Q30" s="39">
        <v>180</v>
      </c>
      <c r="R30" s="48">
        <v>368</v>
      </c>
      <c r="S30" s="44" t="s">
        <v>126</v>
      </c>
      <c r="T30" s="59">
        <v>95</v>
      </c>
      <c r="U30" s="60"/>
    </row>
    <row r="31" spans="1:21" ht="12.75" customHeight="1" thickBot="1" x14ac:dyDescent="0.35">
      <c r="A31" s="124" t="s">
        <v>88</v>
      </c>
      <c r="B31" s="68">
        <v>399</v>
      </c>
      <c r="C31" s="71" t="s">
        <v>251</v>
      </c>
      <c r="D31" s="90" t="s">
        <v>242</v>
      </c>
      <c r="E31" s="91" t="s">
        <v>243</v>
      </c>
      <c r="F31" s="68">
        <v>368</v>
      </c>
      <c r="G31" s="105" t="s">
        <v>126</v>
      </c>
      <c r="H31" s="106">
        <v>95</v>
      </c>
      <c r="I31" s="106">
        <v>100</v>
      </c>
      <c r="J31" s="74">
        <v>368</v>
      </c>
      <c r="K31" s="71" t="s">
        <v>251</v>
      </c>
      <c r="L31" s="72" t="s">
        <v>242</v>
      </c>
      <c r="M31" s="73" t="s">
        <v>243</v>
      </c>
      <c r="N31" s="148">
        <v>401</v>
      </c>
      <c r="O31" s="22" t="s">
        <v>178</v>
      </c>
      <c r="P31" s="106">
        <v>150</v>
      </c>
      <c r="Q31" s="149">
        <v>180</v>
      </c>
      <c r="R31" s="32">
        <v>399</v>
      </c>
      <c r="S31" s="26" t="s">
        <v>251</v>
      </c>
      <c r="T31" s="33"/>
      <c r="U31" s="34" t="s">
        <v>243</v>
      </c>
    </row>
    <row r="32" spans="1:21" ht="12.75" customHeight="1" x14ac:dyDescent="0.3">
      <c r="A32" s="562" t="s">
        <v>3</v>
      </c>
      <c r="B32" s="48">
        <v>47</v>
      </c>
      <c r="C32" s="44" t="s">
        <v>373</v>
      </c>
      <c r="D32" s="45">
        <v>45</v>
      </c>
      <c r="E32" s="49">
        <v>60</v>
      </c>
      <c r="F32" s="48">
        <v>13</v>
      </c>
      <c r="G32" s="44" t="s">
        <v>146</v>
      </c>
      <c r="H32" s="59">
        <v>30</v>
      </c>
      <c r="I32" s="63">
        <v>50</v>
      </c>
      <c r="J32" s="48">
        <v>13</v>
      </c>
      <c r="K32" s="44" t="s">
        <v>135</v>
      </c>
      <c r="L32" s="59">
        <v>45</v>
      </c>
      <c r="M32" s="60">
        <v>0</v>
      </c>
      <c r="N32" s="48">
        <v>45</v>
      </c>
      <c r="O32" s="44" t="s">
        <v>464</v>
      </c>
      <c r="P32" s="45">
        <v>45</v>
      </c>
      <c r="Q32" s="92">
        <v>60</v>
      </c>
      <c r="R32" s="48">
        <v>54</v>
      </c>
      <c r="S32" s="44" t="s">
        <v>465</v>
      </c>
      <c r="T32" s="59">
        <v>30</v>
      </c>
      <c r="U32" s="60">
        <v>50</v>
      </c>
    </row>
    <row r="33" spans="1:22" x14ac:dyDescent="0.3">
      <c r="A33" s="563"/>
      <c r="B33" s="23">
        <v>83</v>
      </c>
      <c r="C33" s="22" t="s">
        <v>312</v>
      </c>
      <c r="D33" s="50">
        <v>180</v>
      </c>
      <c r="E33" s="51">
        <v>180</v>
      </c>
      <c r="F33" s="23">
        <v>63</v>
      </c>
      <c r="G33" s="22" t="s">
        <v>256</v>
      </c>
      <c r="H33" s="53">
        <v>150</v>
      </c>
      <c r="I33" s="54">
        <v>200</v>
      </c>
      <c r="J33" s="23">
        <v>12</v>
      </c>
      <c r="K33" s="22" t="s">
        <v>514</v>
      </c>
      <c r="L33" s="24">
        <v>0</v>
      </c>
      <c r="M33" s="55">
        <v>50</v>
      </c>
      <c r="N33" s="38">
        <v>108</v>
      </c>
      <c r="O33" s="22" t="s">
        <v>420</v>
      </c>
      <c r="P33" s="53" t="s">
        <v>498</v>
      </c>
      <c r="Q33" s="54" t="s">
        <v>499</v>
      </c>
      <c r="R33" s="23">
        <v>58</v>
      </c>
      <c r="S33" s="22" t="s">
        <v>343</v>
      </c>
      <c r="T33" s="24">
        <v>180</v>
      </c>
      <c r="U33" s="55">
        <v>200</v>
      </c>
    </row>
    <row r="34" spans="1:22" x14ac:dyDescent="0.3">
      <c r="A34" s="563"/>
      <c r="B34" s="23">
        <v>304</v>
      </c>
      <c r="C34" s="22" t="s">
        <v>307</v>
      </c>
      <c r="D34" s="50">
        <v>150</v>
      </c>
      <c r="E34" s="51">
        <v>180</v>
      </c>
      <c r="F34" s="23">
        <v>321</v>
      </c>
      <c r="G34" s="22" t="s">
        <v>104</v>
      </c>
      <c r="H34" s="24">
        <v>120</v>
      </c>
      <c r="I34" s="25">
        <v>150</v>
      </c>
      <c r="J34" s="23">
        <v>76</v>
      </c>
      <c r="K34" s="22" t="s">
        <v>264</v>
      </c>
      <c r="L34" s="24">
        <v>180</v>
      </c>
      <c r="M34" s="55">
        <v>200</v>
      </c>
      <c r="N34" s="38">
        <v>132</v>
      </c>
      <c r="O34" s="22" t="s">
        <v>262</v>
      </c>
      <c r="P34" s="24">
        <v>150</v>
      </c>
      <c r="Q34" s="25">
        <v>150</v>
      </c>
      <c r="R34" s="23">
        <v>258</v>
      </c>
      <c r="S34" s="22" t="s">
        <v>144</v>
      </c>
      <c r="T34" s="24">
        <v>70</v>
      </c>
      <c r="U34" s="55">
        <v>80</v>
      </c>
    </row>
    <row r="35" spans="1:22" x14ac:dyDescent="0.3">
      <c r="A35" s="563"/>
      <c r="B35" s="23">
        <v>372</v>
      </c>
      <c r="C35" s="22" t="s">
        <v>374</v>
      </c>
      <c r="D35" s="50">
        <v>150</v>
      </c>
      <c r="E35" s="51">
        <v>180</v>
      </c>
      <c r="F35" s="23">
        <v>261</v>
      </c>
      <c r="G35" s="22" t="s">
        <v>234</v>
      </c>
      <c r="H35" s="53" t="s">
        <v>121</v>
      </c>
      <c r="I35" s="54" t="s">
        <v>123</v>
      </c>
      <c r="J35" s="23">
        <v>274</v>
      </c>
      <c r="K35" s="22" t="s">
        <v>265</v>
      </c>
      <c r="L35" s="24">
        <v>170</v>
      </c>
      <c r="M35" s="55">
        <v>220</v>
      </c>
      <c r="N35" s="38">
        <v>286</v>
      </c>
      <c r="O35" s="22" t="s">
        <v>225</v>
      </c>
      <c r="P35" s="53" t="s">
        <v>92</v>
      </c>
      <c r="Q35" s="54" t="s">
        <v>366</v>
      </c>
      <c r="R35" s="23">
        <v>321</v>
      </c>
      <c r="S35" s="22" t="s">
        <v>104</v>
      </c>
      <c r="T35" s="24">
        <v>120</v>
      </c>
      <c r="U35" s="55">
        <v>150</v>
      </c>
    </row>
    <row r="36" spans="1:22" x14ac:dyDescent="0.3">
      <c r="A36" s="563"/>
      <c r="B36" s="23">
        <v>1</v>
      </c>
      <c r="C36" s="22" t="s">
        <v>177</v>
      </c>
      <c r="D36" s="46">
        <v>20</v>
      </c>
      <c r="E36" s="47">
        <v>25</v>
      </c>
      <c r="F36" s="23">
        <v>372</v>
      </c>
      <c r="G36" s="22" t="s">
        <v>370</v>
      </c>
      <c r="H36" s="24">
        <v>150</v>
      </c>
      <c r="I36" s="25">
        <v>180</v>
      </c>
      <c r="J36" s="23">
        <v>378</v>
      </c>
      <c r="K36" s="22" t="s">
        <v>281</v>
      </c>
      <c r="L36" s="24">
        <v>180</v>
      </c>
      <c r="M36" s="55">
        <v>200</v>
      </c>
      <c r="N36" s="38">
        <v>398</v>
      </c>
      <c r="O36" s="22" t="s">
        <v>168</v>
      </c>
      <c r="P36" s="24">
        <v>150</v>
      </c>
      <c r="Q36" s="25">
        <v>180</v>
      </c>
      <c r="R36" s="23">
        <v>376</v>
      </c>
      <c r="S36" s="22" t="s">
        <v>435</v>
      </c>
      <c r="T36" s="24">
        <v>180</v>
      </c>
      <c r="U36" s="55">
        <v>200</v>
      </c>
    </row>
    <row r="37" spans="1:22" x14ac:dyDescent="0.3">
      <c r="A37" s="563"/>
      <c r="B37" s="23">
        <v>1</v>
      </c>
      <c r="C37" s="22" t="s">
        <v>184</v>
      </c>
      <c r="D37" s="50">
        <v>17</v>
      </c>
      <c r="E37" s="51">
        <v>21</v>
      </c>
      <c r="F37" s="23">
        <v>1</v>
      </c>
      <c r="G37" s="22" t="s">
        <v>177</v>
      </c>
      <c r="H37" s="58">
        <v>20</v>
      </c>
      <c r="I37" s="64">
        <v>25</v>
      </c>
      <c r="J37" s="23">
        <v>1</v>
      </c>
      <c r="K37" s="22" t="s">
        <v>76</v>
      </c>
      <c r="L37" s="58">
        <v>20</v>
      </c>
      <c r="M37" s="61">
        <v>30</v>
      </c>
      <c r="N37" s="38">
        <v>1</v>
      </c>
      <c r="O37" s="22" t="s">
        <v>76</v>
      </c>
      <c r="P37" s="58">
        <v>20</v>
      </c>
      <c r="Q37" s="64">
        <v>30</v>
      </c>
      <c r="R37" s="23">
        <v>1</v>
      </c>
      <c r="S37" s="22" t="s">
        <v>76</v>
      </c>
      <c r="T37" s="58">
        <v>20</v>
      </c>
      <c r="U37" s="61">
        <v>30</v>
      </c>
    </row>
    <row r="38" spans="1:22" ht="12.75" customHeight="1" thickBot="1" x14ac:dyDescent="0.35">
      <c r="A38" s="564"/>
      <c r="B38" s="35"/>
      <c r="C38" s="36"/>
      <c r="D38" s="94"/>
      <c r="E38" s="152"/>
      <c r="F38" s="23">
        <v>1</v>
      </c>
      <c r="G38" s="22" t="s">
        <v>184</v>
      </c>
      <c r="H38" s="24">
        <v>17</v>
      </c>
      <c r="I38" s="25">
        <v>21</v>
      </c>
      <c r="J38" s="35">
        <v>1</v>
      </c>
      <c r="K38" s="36" t="s">
        <v>184</v>
      </c>
      <c r="L38" s="21">
        <v>17</v>
      </c>
      <c r="M38" s="28">
        <v>21</v>
      </c>
      <c r="N38" s="150">
        <v>1</v>
      </c>
      <c r="O38" s="36" t="s">
        <v>184</v>
      </c>
      <c r="P38" s="21">
        <v>17</v>
      </c>
      <c r="Q38" s="29">
        <v>21</v>
      </c>
      <c r="R38" s="32">
        <v>1</v>
      </c>
      <c r="S38" s="26" t="s">
        <v>184</v>
      </c>
      <c r="T38" s="31">
        <v>17</v>
      </c>
      <c r="U38" s="39">
        <v>21</v>
      </c>
    </row>
    <row r="39" spans="1:22" ht="14.25" customHeight="1" x14ac:dyDescent="0.3">
      <c r="A39" s="562" t="s">
        <v>4</v>
      </c>
      <c r="B39" s="48">
        <v>269</v>
      </c>
      <c r="C39" s="44" t="s">
        <v>376</v>
      </c>
      <c r="D39" s="45">
        <v>75</v>
      </c>
      <c r="E39" s="92">
        <v>110</v>
      </c>
      <c r="F39" s="48">
        <v>294</v>
      </c>
      <c r="G39" s="44" t="s">
        <v>255</v>
      </c>
      <c r="H39" s="57" t="s">
        <v>436</v>
      </c>
      <c r="I39" s="143" t="s">
        <v>437</v>
      </c>
      <c r="J39" s="48">
        <v>298</v>
      </c>
      <c r="K39" s="44" t="s">
        <v>122</v>
      </c>
      <c r="L39" s="59">
        <v>60</v>
      </c>
      <c r="M39" s="63">
        <v>80</v>
      </c>
      <c r="N39" s="48">
        <v>229</v>
      </c>
      <c r="O39" s="44" t="s">
        <v>441</v>
      </c>
      <c r="P39" s="59">
        <v>65</v>
      </c>
      <c r="Q39" s="60">
        <v>105</v>
      </c>
      <c r="R39" s="62">
        <v>342</v>
      </c>
      <c r="S39" s="44" t="s">
        <v>309</v>
      </c>
      <c r="T39" s="59">
        <v>100</v>
      </c>
      <c r="U39" s="60">
        <v>150</v>
      </c>
    </row>
    <row r="40" spans="1:22" x14ac:dyDescent="0.3">
      <c r="A40" s="563"/>
      <c r="B40" s="23">
        <v>205</v>
      </c>
      <c r="C40" s="22" t="s">
        <v>371</v>
      </c>
      <c r="D40" s="50">
        <v>120</v>
      </c>
      <c r="E40" s="52">
        <v>130</v>
      </c>
      <c r="F40" s="23">
        <v>1</v>
      </c>
      <c r="G40" s="22" t="s">
        <v>184</v>
      </c>
      <c r="H40" s="24">
        <v>17</v>
      </c>
      <c r="I40" s="25">
        <v>21</v>
      </c>
      <c r="J40" s="23"/>
      <c r="K40" s="403"/>
      <c r="L40" s="24">
        <v>20</v>
      </c>
      <c r="M40" s="25">
        <v>40</v>
      </c>
      <c r="N40" s="23">
        <v>392</v>
      </c>
      <c r="O40" s="98" t="s">
        <v>556</v>
      </c>
      <c r="P40" s="30" t="s">
        <v>555</v>
      </c>
      <c r="Q40" s="66" t="s">
        <v>243</v>
      </c>
      <c r="R40" s="38">
        <v>300</v>
      </c>
      <c r="S40" s="22" t="s">
        <v>310</v>
      </c>
      <c r="T40" s="24">
        <v>60</v>
      </c>
      <c r="U40" s="55">
        <v>60</v>
      </c>
    </row>
    <row r="41" spans="1:22" x14ac:dyDescent="0.3">
      <c r="A41" s="563"/>
      <c r="B41" s="23">
        <v>392</v>
      </c>
      <c r="C41" s="22" t="s">
        <v>554</v>
      </c>
      <c r="D41" s="50">
        <v>150</v>
      </c>
      <c r="E41" s="52">
        <v>180</v>
      </c>
      <c r="F41" s="23">
        <v>55</v>
      </c>
      <c r="G41" s="22" t="s">
        <v>378</v>
      </c>
      <c r="H41" s="24">
        <v>45</v>
      </c>
      <c r="I41" s="25">
        <v>60</v>
      </c>
      <c r="J41" s="23">
        <v>400</v>
      </c>
      <c r="K41" s="22" t="s">
        <v>105</v>
      </c>
      <c r="L41" s="24">
        <v>150</v>
      </c>
      <c r="M41" s="25">
        <v>180</v>
      </c>
      <c r="N41" s="23"/>
      <c r="O41" s="22" t="s">
        <v>191</v>
      </c>
      <c r="P41" s="24">
        <v>20</v>
      </c>
      <c r="Q41" s="55">
        <v>50</v>
      </c>
      <c r="R41" s="401">
        <v>467</v>
      </c>
      <c r="S41" s="22" t="s">
        <v>466</v>
      </c>
      <c r="T41" s="24">
        <v>50</v>
      </c>
      <c r="U41" s="55">
        <v>50</v>
      </c>
    </row>
    <row r="42" spans="1:22" ht="26" x14ac:dyDescent="0.3">
      <c r="A42" s="563"/>
      <c r="B42" s="23">
        <v>1</v>
      </c>
      <c r="C42" s="22" t="s">
        <v>184</v>
      </c>
      <c r="D42" s="50">
        <v>17</v>
      </c>
      <c r="E42" s="52">
        <v>21</v>
      </c>
      <c r="F42" s="23">
        <v>491</v>
      </c>
      <c r="G42" s="404" t="s">
        <v>462</v>
      </c>
      <c r="H42" s="24">
        <v>25</v>
      </c>
      <c r="I42" s="25">
        <v>25</v>
      </c>
      <c r="J42" s="23">
        <v>1</v>
      </c>
      <c r="K42" s="22" t="s">
        <v>184</v>
      </c>
      <c r="L42" s="58">
        <v>17</v>
      </c>
      <c r="M42" s="25">
        <v>21</v>
      </c>
      <c r="N42" s="23">
        <v>1</v>
      </c>
      <c r="O42" s="22" t="s">
        <v>184</v>
      </c>
      <c r="P42" s="58">
        <v>17</v>
      </c>
      <c r="Q42" s="55">
        <v>21</v>
      </c>
      <c r="R42" s="38">
        <v>400</v>
      </c>
      <c r="S42" s="22" t="s">
        <v>433</v>
      </c>
      <c r="T42" s="21">
        <v>150</v>
      </c>
      <c r="U42" s="28">
        <v>180</v>
      </c>
    </row>
    <row r="43" spans="1:22" ht="25.15" customHeight="1" thickBot="1" x14ac:dyDescent="0.35">
      <c r="A43" s="564"/>
      <c r="B43" s="32">
        <v>491</v>
      </c>
      <c r="D43" s="27"/>
      <c r="E43" s="140"/>
      <c r="F43" s="32">
        <v>401</v>
      </c>
      <c r="G43" s="26" t="s">
        <v>178</v>
      </c>
      <c r="H43" s="31">
        <v>150</v>
      </c>
      <c r="I43" s="144">
        <v>180</v>
      </c>
      <c r="J43" s="32"/>
      <c r="K43" s="26"/>
      <c r="L43" s="33"/>
      <c r="M43" s="400"/>
      <c r="N43" s="32"/>
      <c r="O43" s="26"/>
      <c r="P43" s="76"/>
      <c r="Q43" s="39"/>
      <c r="R43" s="84">
        <v>1</v>
      </c>
      <c r="S43" s="26" t="s">
        <v>184</v>
      </c>
      <c r="T43" s="76">
        <v>17</v>
      </c>
      <c r="U43" s="39">
        <v>21</v>
      </c>
    </row>
    <row r="44" spans="1:22" x14ac:dyDescent="0.3">
      <c r="F44" s="126"/>
      <c r="G44" s="128"/>
      <c r="H44" s="14"/>
      <c r="I44" s="98"/>
      <c r="J44" s="126"/>
      <c r="K44" s="130"/>
      <c r="L44" s="14"/>
      <c r="M44" s="98"/>
      <c r="N44" s="127"/>
      <c r="O44" s="130"/>
      <c r="P44" s="98"/>
      <c r="Q44" s="98"/>
      <c r="R44" s="98"/>
      <c r="T44" s="98"/>
      <c r="U44" s="98"/>
    </row>
    <row r="46" spans="1:22" x14ac:dyDescent="0.3">
      <c r="B46" s="14"/>
      <c r="C46" s="131"/>
      <c r="D46" s="127"/>
      <c r="F46" s="132"/>
      <c r="G46" s="128"/>
      <c r="I46" s="126"/>
      <c r="J46" s="129"/>
      <c r="K46" s="98"/>
      <c r="L46" s="126"/>
      <c r="M46" s="127"/>
      <c r="N46" s="14"/>
      <c r="P46" s="127"/>
      <c r="R46" s="98"/>
      <c r="S46" s="251"/>
      <c r="T46" s="251"/>
      <c r="U46" s="251"/>
      <c r="V46"/>
    </row>
    <row r="47" spans="1:22" x14ac:dyDescent="0.3">
      <c r="B47" s="14"/>
      <c r="C47" s="131"/>
      <c r="D47" s="127"/>
      <c r="F47" s="132"/>
      <c r="G47" s="128"/>
      <c r="I47" s="126"/>
      <c r="J47" s="129"/>
      <c r="K47" s="98"/>
      <c r="L47" s="126"/>
      <c r="M47" s="127"/>
      <c r="N47" s="14"/>
      <c r="P47" s="127"/>
      <c r="R47" s="98"/>
      <c r="S47" s="251"/>
      <c r="T47" s="251"/>
      <c r="U47" s="251"/>
      <c r="V47"/>
    </row>
    <row r="48" spans="1:22" x14ac:dyDescent="0.3">
      <c r="B48" s="14"/>
      <c r="C48" s="131"/>
      <c r="D48" s="127"/>
      <c r="F48" s="132"/>
      <c r="G48" s="128"/>
      <c r="I48" s="126"/>
      <c r="J48" s="129"/>
      <c r="K48" s="98"/>
      <c r="L48" s="126"/>
      <c r="M48" s="127"/>
      <c r="N48" s="14"/>
      <c r="P48" s="127"/>
      <c r="R48" s="98"/>
      <c r="S48" s="251"/>
      <c r="T48" s="251"/>
      <c r="U48" s="251"/>
      <c r="V48"/>
    </row>
    <row r="49" spans="2:22" x14ac:dyDescent="0.3">
      <c r="B49" s="14"/>
      <c r="C49" s="131"/>
      <c r="D49" s="127"/>
      <c r="F49" s="132"/>
      <c r="G49" s="128"/>
      <c r="I49" s="126"/>
      <c r="J49" s="129"/>
      <c r="K49" s="98"/>
      <c r="L49" s="126"/>
      <c r="M49" s="127"/>
      <c r="N49" s="14"/>
      <c r="P49" s="127"/>
      <c r="R49" s="98"/>
      <c r="S49" s="251"/>
      <c r="T49" s="251"/>
      <c r="U49" s="251"/>
      <c r="V49"/>
    </row>
    <row r="50" spans="2:22" x14ac:dyDescent="0.3">
      <c r="B50" s="14"/>
      <c r="C50" s="131"/>
      <c r="D50" s="127"/>
      <c r="F50" s="132"/>
      <c r="G50" s="128"/>
      <c r="I50" s="126"/>
      <c r="J50" s="129"/>
      <c r="K50" s="98"/>
      <c r="L50" s="126"/>
      <c r="M50" s="127"/>
      <c r="N50" s="14"/>
      <c r="P50" s="127"/>
      <c r="R50" s="98"/>
      <c r="S50" s="251"/>
      <c r="T50" s="251"/>
      <c r="U50" s="251"/>
      <c r="V50"/>
    </row>
    <row r="51" spans="2:22" x14ac:dyDescent="0.3">
      <c r="B51" s="14"/>
      <c r="C51" s="131"/>
      <c r="D51" s="127"/>
      <c r="F51" s="132"/>
      <c r="G51" s="128"/>
      <c r="I51" s="126"/>
      <c r="J51" s="129"/>
      <c r="K51" s="98"/>
      <c r="L51" s="126"/>
      <c r="M51" s="127"/>
      <c r="N51" s="14"/>
      <c r="P51" s="127"/>
      <c r="R51" s="98"/>
      <c r="S51" s="251"/>
      <c r="T51" s="251"/>
      <c r="U51" s="251"/>
      <c r="V51"/>
    </row>
  </sheetData>
  <mergeCells count="27">
    <mergeCell ref="A1:U3"/>
    <mergeCell ref="N5:O5"/>
    <mergeCell ref="B26:C26"/>
    <mergeCell ref="F26:G26"/>
    <mergeCell ref="J26:K26"/>
    <mergeCell ref="R26:S26"/>
    <mergeCell ref="N26:O26"/>
    <mergeCell ref="A5:A9"/>
    <mergeCell ref="A19:A23"/>
    <mergeCell ref="A25:A30"/>
    <mergeCell ref="T4:U4"/>
    <mergeCell ref="T25:U25"/>
    <mergeCell ref="B5:C5"/>
    <mergeCell ref="F5:G5"/>
    <mergeCell ref="J5:K5"/>
    <mergeCell ref="R5:S5"/>
    <mergeCell ref="P25:Q25"/>
    <mergeCell ref="L4:M4"/>
    <mergeCell ref="P4:Q4"/>
    <mergeCell ref="A39:A43"/>
    <mergeCell ref="A32:A38"/>
    <mergeCell ref="H4:I4"/>
    <mergeCell ref="A11:A18"/>
    <mergeCell ref="D25:E25"/>
    <mergeCell ref="L25:M25"/>
    <mergeCell ref="H25:I25"/>
    <mergeCell ref="D4:E4"/>
  </mergeCells>
  <phoneticPr fontId="2" type="noConversion"/>
  <pageMargins left="0.14000000000000001" right="0.21" top="0.24" bottom="0.3" header="0.53" footer="0.33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39"/>
  <sheetViews>
    <sheetView tabSelected="1" view="pageLayout" topLeftCell="A550" zoomScaleNormal="100" zoomScaleSheetLayoutView="100" workbookViewId="0">
      <selection activeCell="C573" sqref="C573"/>
    </sheetView>
  </sheetViews>
  <sheetFormatPr defaultRowHeight="13" x14ac:dyDescent="0.3"/>
  <cols>
    <col min="1" max="1" width="9.1796875" style="98" customWidth="1"/>
    <col min="2" max="2" width="24.7265625" style="98" customWidth="1"/>
    <col min="3" max="3" width="25.54296875" style="98" customWidth="1"/>
    <col min="4" max="4" width="8.1796875" style="99" customWidth="1"/>
    <col min="5" max="5" width="7.453125" style="99" customWidth="1"/>
    <col min="6" max="6" width="8.453125" style="99" customWidth="1"/>
    <col min="7" max="7" width="8" style="99" customWidth="1"/>
  </cols>
  <sheetData>
    <row r="1" spans="1:7" ht="11.25" customHeight="1" thickBot="1" x14ac:dyDescent="0.35">
      <c r="A1" s="135" t="s">
        <v>365</v>
      </c>
      <c r="B1" s="581" t="s">
        <v>10</v>
      </c>
      <c r="C1" s="136"/>
      <c r="D1" s="583" t="s">
        <v>72</v>
      </c>
      <c r="E1" s="584"/>
      <c r="F1" s="585" t="s">
        <v>73</v>
      </c>
      <c r="G1" s="584"/>
    </row>
    <row r="2" spans="1:7" ht="11.25" customHeight="1" thickBot="1" x14ac:dyDescent="0.35">
      <c r="A2" s="104" t="s">
        <v>148</v>
      </c>
      <c r="B2" s="582"/>
      <c r="C2" s="168"/>
      <c r="D2" s="155" t="s">
        <v>96</v>
      </c>
      <c r="E2" s="156" t="s">
        <v>48</v>
      </c>
      <c r="F2" s="155" t="s">
        <v>96</v>
      </c>
      <c r="G2" s="156" t="s">
        <v>48</v>
      </c>
    </row>
    <row r="3" spans="1:7" ht="11.25" customHeight="1" x14ac:dyDescent="0.3">
      <c r="A3" s="252">
        <v>168</v>
      </c>
      <c r="B3" s="44" t="s">
        <v>482</v>
      </c>
      <c r="C3" s="44" t="s">
        <v>53</v>
      </c>
      <c r="D3" s="405">
        <f>820*130/1000</f>
        <v>106.6</v>
      </c>
      <c r="E3" s="405">
        <f>820*130/1000</f>
        <v>106.6</v>
      </c>
      <c r="F3" s="405">
        <f>820*150/1000</f>
        <v>123</v>
      </c>
      <c r="G3" s="406">
        <f>820*150/1000</f>
        <v>123</v>
      </c>
    </row>
    <row r="4" spans="1:7" ht="11.25" customHeight="1" x14ac:dyDescent="0.3">
      <c r="A4" s="255"/>
      <c r="B4" s="22"/>
      <c r="C4" s="22" t="s">
        <v>153</v>
      </c>
      <c r="D4" s="407">
        <f>D3*0.12</f>
        <v>12.791999999999998</v>
      </c>
      <c r="E4" s="407">
        <f>E3*0.12</f>
        <v>12.791999999999998</v>
      </c>
      <c r="F4" s="407">
        <f>F3*0.12</f>
        <v>14.76</v>
      </c>
      <c r="G4" s="408">
        <f>G3*0.12</f>
        <v>14.76</v>
      </c>
    </row>
    <row r="5" spans="1:7" ht="11.25" customHeight="1" x14ac:dyDescent="0.3">
      <c r="A5" s="255" t="s">
        <v>1</v>
      </c>
      <c r="B5" s="22"/>
      <c r="C5" s="22" t="s">
        <v>268</v>
      </c>
      <c r="D5" s="407">
        <f>880*130/1000-14.8</f>
        <v>99.600000000000009</v>
      </c>
      <c r="E5" s="407">
        <f>880*130/1000-14.8</f>
        <v>99.600000000000009</v>
      </c>
      <c r="F5" s="407">
        <f>880*150/1000-19.7</f>
        <v>112.3</v>
      </c>
      <c r="G5" s="408">
        <f>880*150/1000-19.7</f>
        <v>112.3</v>
      </c>
    </row>
    <row r="6" spans="1:7" ht="11.25" customHeight="1" x14ac:dyDescent="0.3">
      <c r="A6" s="255"/>
      <c r="B6" s="22" t="s">
        <v>516</v>
      </c>
      <c r="C6" s="22" t="s">
        <v>192</v>
      </c>
      <c r="D6" s="407">
        <f>222*130/1000</f>
        <v>28.86</v>
      </c>
      <c r="E6" s="407">
        <f>222*130/1000</f>
        <v>28.86</v>
      </c>
      <c r="F6" s="407">
        <f>222*150/1000</f>
        <v>33.299999999999997</v>
      </c>
      <c r="G6" s="408">
        <f>222*150/1000</f>
        <v>33.299999999999997</v>
      </c>
    </row>
    <row r="7" spans="1:7" ht="11.25" customHeight="1" x14ac:dyDescent="0.3">
      <c r="A7" s="255"/>
      <c r="B7" s="22"/>
      <c r="C7" s="22" t="s">
        <v>57</v>
      </c>
      <c r="D7" s="407">
        <v>5</v>
      </c>
      <c r="E7" s="407">
        <v>5</v>
      </c>
      <c r="F7" s="407">
        <v>5</v>
      </c>
      <c r="G7" s="408">
        <v>5</v>
      </c>
    </row>
    <row r="8" spans="1:7" ht="11.25" customHeight="1" x14ac:dyDescent="0.3">
      <c r="A8" s="255"/>
      <c r="B8" s="22"/>
      <c r="C8" s="22" t="s">
        <v>59</v>
      </c>
      <c r="D8" s="407">
        <v>5</v>
      </c>
      <c r="E8" s="407">
        <v>5</v>
      </c>
      <c r="F8" s="407">
        <v>5</v>
      </c>
      <c r="G8" s="408">
        <v>5</v>
      </c>
    </row>
    <row r="9" spans="1:7" ht="11.25" customHeight="1" x14ac:dyDescent="0.3">
      <c r="A9" s="255"/>
      <c r="B9" s="22"/>
      <c r="C9" s="22" t="s">
        <v>58</v>
      </c>
      <c r="D9" s="407">
        <f>1.5*130/1000</f>
        <v>0.19500000000000001</v>
      </c>
      <c r="E9" s="407">
        <f>1.5*130/1000</f>
        <v>0.19500000000000001</v>
      </c>
      <c r="F9" s="407">
        <f>1.5*150/1000</f>
        <v>0.22500000000000001</v>
      </c>
      <c r="G9" s="408">
        <f>1.5*150/1000</f>
        <v>0.22500000000000001</v>
      </c>
    </row>
    <row r="10" spans="1:7" ht="11.25" customHeight="1" x14ac:dyDescent="0.3">
      <c r="A10" s="183">
        <v>1</v>
      </c>
      <c r="B10" s="22" t="s">
        <v>473</v>
      </c>
      <c r="C10" s="22" t="s">
        <v>474</v>
      </c>
      <c r="D10" s="256">
        <v>24</v>
      </c>
      <c r="E10" s="256">
        <v>24</v>
      </c>
      <c r="F10" s="256">
        <v>30</v>
      </c>
      <c r="G10" s="257">
        <v>30</v>
      </c>
    </row>
    <row r="11" spans="1:7" ht="11.25" customHeight="1" x14ac:dyDescent="0.3">
      <c r="A11" s="255"/>
      <c r="B11" s="22" t="s">
        <v>517</v>
      </c>
      <c r="C11" s="22"/>
      <c r="D11" s="256"/>
      <c r="E11" s="256"/>
      <c r="F11" s="256"/>
      <c r="G11" s="257"/>
    </row>
    <row r="12" spans="1:7" ht="11.25" customHeight="1" x14ac:dyDescent="0.3">
      <c r="A12" s="255">
        <v>6</v>
      </c>
      <c r="B12" s="22" t="s">
        <v>29</v>
      </c>
      <c r="C12" s="22" t="s">
        <v>154</v>
      </c>
      <c r="D12" s="407">
        <v>5.3</v>
      </c>
      <c r="E12" s="407">
        <v>5</v>
      </c>
      <c r="F12" s="407">
        <v>5.3</v>
      </c>
      <c r="G12" s="408">
        <v>5</v>
      </c>
    </row>
    <row r="13" spans="1:7" ht="11.25" customHeight="1" x14ac:dyDescent="0.3">
      <c r="A13" s="255">
        <v>395</v>
      </c>
      <c r="B13" s="22" t="s">
        <v>74</v>
      </c>
      <c r="C13" s="22" t="s">
        <v>60</v>
      </c>
      <c r="D13" s="256">
        <v>2</v>
      </c>
      <c r="E13" s="256">
        <v>2</v>
      </c>
      <c r="F13" s="256">
        <v>3</v>
      </c>
      <c r="G13" s="257">
        <v>3</v>
      </c>
    </row>
    <row r="14" spans="1:7" ht="11.25" customHeight="1" x14ac:dyDescent="0.3">
      <c r="A14" s="255"/>
      <c r="B14" s="22" t="s">
        <v>61</v>
      </c>
      <c r="C14" s="22" t="s">
        <v>57</v>
      </c>
      <c r="D14" s="256">
        <v>7</v>
      </c>
      <c r="E14" s="256">
        <v>7</v>
      </c>
      <c r="F14" s="256">
        <v>10</v>
      </c>
      <c r="G14" s="257">
        <v>10</v>
      </c>
    </row>
    <row r="15" spans="1:7" ht="11.25" customHeight="1" x14ac:dyDescent="0.3">
      <c r="A15" s="255"/>
      <c r="B15" s="22"/>
      <c r="C15" s="22" t="s">
        <v>125</v>
      </c>
      <c r="D15" s="256">
        <v>75</v>
      </c>
      <c r="E15" s="256">
        <v>75</v>
      </c>
      <c r="F15" s="256">
        <v>90</v>
      </c>
      <c r="G15" s="257">
        <v>90</v>
      </c>
    </row>
    <row r="16" spans="1:7" ht="11.25" customHeight="1" thickBot="1" x14ac:dyDescent="0.35">
      <c r="A16" s="96"/>
      <c r="B16" s="26"/>
      <c r="C16" s="26" t="s">
        <v>56</v>
      </c>
      <c r="D16" s="258">
        <v>90</v>
      </c>
      <c r="E16" s="258">
        <v>90</v>
      </c>
      <c r="F16" s="258">
        <v>108</v>
      </c>
      <c r="G16" s="259">
        <v>108</v>
      </c>
    </row>
    <row r="17" spans="1:7" ht="11.25" customHeight="1" thickBot="1" x14ac:dyDescent="0.35">
      <c r="A17" s="184" t="s">
        <v>2</v>
      </c>
      <c r="B17" s="260" t="s">
        <v>391</v>
      </c>
      <c r="C17" s="261" t="s">
        <v>49</v>
      </c>
      <c r="D17" s="262">
        <v>200</v>
      </c>
      <c r="E17" s="263">
        <v>200</v>
      </c>
      <c r="F17" s="409">
        <v>180</v>
      </c>
      <c r="G17" s="410">
        <v>180</v>
      </c>
    </row>
    <row r="18" spans="1:7" ht="11.25" customHeight="1" x14ac:dyDescent="0.3">
      <c r="A18" s="95">
        <v>53</v>
      </c>
      <c r="B18" s="44" t="s">
        <v>368</v>
      </c>
      <c r="C18" s="44" t="s">
        <v>519</v>
      </c>
      <c r="D18" s="405">
        <v>30</v>
      </c>
      <c r="E18" s="405">
        <v>30</v>
      </c>
      <c r="F18" s="405">
        <v>50</v>
      </c>
      <c r="G18" s="406">
        <v>50</v>
      </c>
    </row>
    <row r="19" spans="1:7" ht="11.25" customHeight="1" x14ac:dyDescent="0.3">
      <c r="A19" s="255"/>
      <c r="B19" s="411" t="s">
        <v>518</v>
      </c>
      <c r="C19" s="22"/>
      <c r="D19" s="407"/>
      <c r="E19" s="407"/>
      <c r="F19" s="407"/>
      <c r="G19" s="408"/>
    </row>
    <row r="20" spans="1:7" ht="11.25" customHeight="1" x14ac:dyDescent="0.3">
      <c r="A20" s="255"/>
      <c r="B20" s="22"/>
      <c r="C20" s="22"/>
      <c r="D20" s="256"/>
      <c r="E20" s="256"/>
      <c r="F20" s="256"/>
      <c r="G20" s="257"/>
    </row>
    <row r="21" spans="1:7" ht="11.25" customHeight="1" x14ac:dyDescent="0.3">
      <c r="A21" s="255"/>
      <c r="B21" s="22"/>
      <c r="C21" s="22"/>
      <c r="D21" s="256"/>
      <c r="E21" s="256"/>
      <c r="F21" s="256"/>
      <c r="G21" s="257"/>
    </row>
    <row r="22" spans="1:7" ht="11.25" customHeight="1" x14ac:dyDescent="0.3">
      <c r="A22" s="255" t="s">
        <v>3</v>
      </c>
      <c r="B22" s="22" t="s">
        <v>147</v>
      </c>
      <c r="C22" s="22" t="s">
        <v>64</v>
      </c>
      <c r="D22" s="407">
        <f>80*150/1000</f>
        <v>12</v>
      </c>
      <c r="E22" s="407">
        <f>64*150/1000</f>
        <v>9.6</v>
      </c>
      <c r="F22" s="407">
        <f>80*180/1000</f>
        <v>14.4</v>
      </c>
      <c r="G22" s="408">
        <f>64*180/1000</f>
        <v>11.52</v>
      </c>
    </row>
    <row r="23" spans="1:7" ht="11.25" customHeight="1" x14ac:dyDescent="0.3">
      <c r="A23" s="255">
        <v>87</v>
      </c>
      <c r="B23" s="22"/>
      <c r="C23" s="22" t="s">
        <v>269</v>
      </c>
      <c r="D23" s="407">
        <f>160*150/1000</f>
        <v>24</v>
      </c>
      <c r="E23" s="407">
        <f>160*150/1000</f>
        <v>24</v>
      </c>
      <c r="F23" s="407">
        <f>160*180/1000</f>
        <v>28.8</v>
      </c>
      <c r="G23" s="408">
        <f>160*180/1000</f>
        <v>28.8</v>
      </c>
    </row>
    <row r="24" spans="1:7" ht="11.25" customHeight="1" x14ac:dyDescent="0.3">
      <c r="A24" s="255" t="s">
        <v>150</v>
      </c>
      <c r="B24" s="22" t="s">
        <v>520</v>
      </c>
      <c r="C24" s="22" t="s">
        <v>185</v>
      </c>
      <c r="D24" s="407">
        <f>E24*1.33</f>
        <v>55.86</v>
      </c>
      <c r="E24" s="407">
        <f>280*150/1000</f>
        <v>42</v>
      </c>
      <c r="F24" s="407">
        <f>G24*1.33</f>
        <v>67.031999999999996</v>
      </c>
      <c r="G24" s="408">
        <f>280*180/1000</f>
        <v>50.4</v>
      </c>
    </row>
    <row r="25" spans="1:7" ht="11.25" customHeight="1" x14ac:dyDescent="0.3">
      <c r="A25" s="255"/>
      <c r="B25" s="22"/>
      <c r="C25" s="22" t="s">
        <v>186</v>
      </c>
      <c r="D25" s="407">
        <f>E25*1.43</f>
        <v>60.059999999999995</v>
      </c>
      <c r="E25" s="407">
        <f>280*150/1000</f>
        <v>42</v>
      </c>
      <c r="F25" s="407">
        <f>G25*1.43</f>
        <v>72.071999999999989</v>
      </c>
      <c r="G25" s="408">
        <f>280*180/1000</f>
        <v>50.4</v>
      </c>
    </row>
    <row r="26" spans="1:7" ht="11.25" customHeight="1" x14ac:dyDescent="0.3">
      <c r="A26" s="265"/>
      <c r="B26" s="266"/>
      <c r="C26" s="22" t="s">
        <v>187</v>
      </c>
      <c r="D26" s="407">
        <f>E26*1.54</f>
        <v>64.680000000000007</v>
      </c>
      <c r="E26" s="407">
        <f>280*150/1000</f>
        <v>42</v>
      </c>
      <c r="F26" s="407">
        <f>G26*1.54</f>
        <v>77.616</v>
      </c>
      <c r="G26" s="408">
        <f>280*180/1000</f>
        <v>50.4</v>
      </c>
    </row>
    <row r="27" spans="1:7" ht="11.25" customHeight="1" x14ac:dyDescent="0.3">
      <c r="A27" s="265"/>
      <c r="B27" s="266"/>
      <c r="C27" s="22" t="s">
        <v>188</v>
      </c>
      <c r="D27" s="407">
        <f>E27*1.67</f>
        <v>70.14</v>
      </c>
      <c r="E27" s="407">
        <f>280*150/1000</f>
        <v>42</v>
      </c>
      <c r="F27" s="407">
        <f>G27*1.67</f>
        <v>84.167999999999992</v>
      </c>
      <c r="G27" s="408">
        <f>280*180/1000</f>
        <v>50.4</v>
      </c>
    </row>
    <row r="28" spans="1:7" ht="11.25" customHeight="1" x14ac:dyDescent="0.3">
      <c r="A28" s="265"/>
      <c r="B28" s="266"/>
      <c r="C28" s="22" t="s">
        <v>118</v>
      </c>
      <c r="D28" s="407">
        <f>20*150/1000</f>
        <v>3</v>
      </c>
      <c r="E28" s="407">
        <f>20*150/1000</f>
        <v>3</v>
      </c>
      <c r="F28" s="407">
        <f>20*180/1000</f>
        <v>3.6</v>
      </c>
      <c r="G28" s="408">
        <f>20*180/1000</f>
        <v>3.6</v>
      </c>
    </row>
    <row r="29" spans="1:7" ht="11.25" customHeight="1" x14ac:dyDescent="0.3">
      <c r="A29" s="255"/>
      <c r="B29" s="22"/>
      <c r="C29" s="22" t="s">
        <v>62</v>
      </c>
      <c r="D29" s="407">
        <f>38*150/1000</f>
        <v>5.7</v>
      </c>
      <c r="E29" s="407">
        <f>32*150/1000</f>
        <v>4.8</v>
      </c>
      <c r="F29" s="407">
        <f>38*180/1000</f>
        <v>6.84</v>
      </c>
      <c r="G29" s="408">
        <f>32*180/1000</f>
        <v>5.76</v>
      </c>
    </row>
    <row r="30" spans="1:7" ht="11.25" customHeight="1" x14ac:dyDescent="0.35">
      <c r="A30" s="267"/>
      <c r="B30" s="268"/>
      <c r="C30" s="22" t="s">
        <v>196</v>
      </c>
      <c r="D30" s="407">
        <f>7.2*150/1000</f>
        <v>1.08</v>
      </c>
      <c r="E30" s="407">
        <f>7*150/1000</f>
        <v>1.05</v>
      </c>
      <c r="F30" s="407">
        <f>7.2*180/1000</f>
        <v>1.296</v>
      </c>
      <c r="G30" s="408">
        <f>7*180/1000</f>
        <v>1.26</v>
      </c>
    </row>
    <row r="31" spans="1:7" ht="11.25" customHeight="1" x14ac:dyDescent="0.35">
      <c r="A31" s="267"/>
      <c r="B31" s="268"/>
      <c r="C31" s="22" t="s">
        <v>113</v>
      </c>
      <c r="D31" s="407">
        <f>15*150/1000</f>
        <v>2.25</v>
      </c>
      <c r="E31" s="407">
        <f>15*150/1000</f>
        <v>2.25</v>
      </c>
      <c r="F31" s="407">
        <f>15*180/1000</f>
        <v>2.7</v>
      </c>
      <c r="G31" s="408">
        <f>15*180/1000</f>
        <v>2.7</v>
      </c>
    </row>
    <row r="32" spans="1:7" ht="11.25" customHeight="1" x14ac:dyDescent="0.3">
      <c r="A32" s="255"/>
      <c r="B32" s="22"/>
      <c r="C32" s="22" t="s">
        <v>58</v>
      </c>
      <c r="D32" s="407">
        <f>0.6*150/1000</f>
        <v>0.09</v>
      </c>
      <c r="E32" s="407">
        <f>0.6*150/1000</f>
        <v>0.09</v>
      </c>
      <c r="F32" s="407">
        <f>0.6*180/1000</f>
        <v>0.108</v>
      </c>
      <c r="G32" s="408">
        <f>0.6*180/1000</f>
        <v>0.108</v>
      </c>
    </row>
    <row r="33" spans="1:7" ht="11.25" customHeight="1" x14ac:dyDescent="0.3">
      <c r="A33" s="255">
        <v>277</v>
      </c>
      <c r="B33" s="22" t="s">
        <v>227</v>
      </c>
      <c r="C33" s="22" t="s">
        <v>77</v>
      </c>
      <c r="D33" s="256">
        <f>E33*1.095</f>
        <v>88.512499999999989</v>
      </c>
      <c r="E33" s="256">
        <f>97*50/60</f>
        <v>80.833333333333329</v>
      </c>
      <c r="F33" s="256">
        <f>G33*1.095</f>
        <v>105.94125</v>
      </c>
      <c r="G33" s="257">
        <f>129*60/80</f>
        <v>96.75</v>
      </c>
    </row>
    <row r="34" spans="1:7" ht="11.25" customHeight="1" x14ac:dyDescent="0.3">
      <c r="A34" s="255"/>
      <c r="B34" s="22" t="s">
        <v>424</v>
      </c>
      <c r="C34" s="22" t="s">
        <v>63</v>
      </c>
      <c r="D34" s="256">
        <f>4*50/60</f>
        <v>3.3333333333333335</v>
      </c>
      <c r="E34" s="256">
        <f>4*50/60</f>
        <v>3.3333333333333335</v>
      </c>
      <c r="F34" s="256">
        <f>5*60/80</f>
        <v>3.75</v>
      </c>
      <c r="G34" s="257">
        <f>5*60/80</f>
        <v>3.75</v>
      </c>
    </row>
    <row r="35" spans="1:7" ht="11.25" customHeight="1" x14ac:dyDescent="0.3">
      <c r="A35" s="255"/>
      <c r="B35" s="22"/>
      <c r="C35" s="22" t="s">
        <v>64</v>
      </c>
      <c r="D35" s="256">
        <f>25*50/60</f>
        <v>20.833333333333332</v>
      </c>
      <c r="E35" s="256">
        <f>20*50/60</f>
        <v>16.666666666666668</v>
      </c>
      <c r="F35" s="256">
        <f>19*60/80</f>
        <v>14.25</v>
      </c>
      <c r="G35" s="257">
        <f>15*60/80</f>
        <v>11.25</v>
      </c>
    </row>
    <row r="36" spans="1:7" ht="11.25" customHeight="1" x14ac:dyDescent="0.3">
      <c r="A36" s="255"/>
      <c r="B36" s="22"/>
      <c r="C36" s="22" t="s">
        <v>68</v>
      </c>
      <c r="D36" s="256">
        <f>3*50/60</f>
        <v>2.5</v>
      </c>
      <c r="E36" s="256">
        <f>3*50/60</f>
        <v>2.5</v>
      </c>
      <c r="F36" s="256">
        <f>4*60/80</f>
        <v>3</v>
      </c>
      <c r="G36" s="257">
        <f>4*60/80</f>
        <v>3</v>
      </c>
    </row>
    <row r="37" spans="1:7" ht="11.25" customHeight="1" x14ac:dyDescent="0.3">
      <c r="A37" s="255"/>
      <c r="B37" s="22"/>
      <c r="C37" s="22" t="s">
        <v>69</v>
      </c>
      <c r="D37" s="256">
        <f>40*50/60</f>
        <v>33.333333333333336</v>
      </c>
      <c r="E37" s="256">
        <f>40*50/60</f>
        <v>33.333333333333336</v>
      </c>
      <c r="F37" s="256">
        <f>53*60/80</f>
        <v>39.75</v>
      </c>
      <c r="G37" s="257">
        <f>53*60/80</f>
        <v>39.75</v>
      </c>
    </row>
    <row r="38" spans="1:7" ht="11.25" customHeight="1" x14ac:dyDescent="0.3">
      <c r="A38" s="255"/>
      <c r="B38" s="22"/>
      <c r="C38" s="22" t="s">
        <v>62</v>
      </c>
      <c r="D38" s="256">
        <f>12*50/60</f>
        <v>10</v>
      </c>
      <c r="E38" s="256">
        <f>10*50/60</f>
        <v>8.3333333333333339</v>
      </c>
      <c r="F38" s="256">
        <f>17*60/80</f>
        <v>12.75</v>
      </c>
      <c r="G38" s="257">
        <f>14*60/80</f>
        <v>10.5</v>
      </c>
    </row>
    <row r="39" spans="1:7" ht="11.25" customHeight="1" x14ac:dyDescent="0.3">
      <c r="A39" s="255"/>
      <c r="B39" s="22"/>
      <c r="C39" s="22" t="s">
        <v>115</v>
      </c>
      <c r="D39" s="256">
        <v>0</v>
      </c>
      <c r="E39" s="256">
        <v>0</v>
      </c>
      <c r="F39" s="256">
        <f>6*0.4*60/80</f>
        <v>1.8000000000000003</v>
      </c>
      <c r="G39" s="257">
        <f>6*0.4*60/80</f>
        <v>1.8000000000000003</v>
      </c>
    </row>
    <row r="40" spans="1:7" ht="11.25" customHeight="1" x14ac:dyDescent="0.3">
      <c r="A40" s="255">
        <v>313</v>
      </c>
      <c r="B40" s="22" t="s">
        <v>383</v>
      </c>
      <c r="C40" s="22" t="s">
        <v>70</v>
      </c>
      <c r="D40" s="256">
        <f>47.6*97/100</f>
        <v>46.171999999999997</v>
      </c>
      <c r="E40" s="256">
        <f>47.6*97/100</f>
        <v>46.171999999999997</v>
      </c>
      <c r="F40" s="256">
        <f>47.6*145.5/100</f>
        <v>69.257999999999996</v>
      </c>
      <c r="G40" s="257">
        <f>47.6*145.5/100</f>
        <v>69.257999999999996</v>
      </c>
    </row>
    <row r="41" spans="1:7" ht="11.25" customHeight="1" x14ac:dyDescent="0.3">
      <c r="A41" s="255"/>
      <c r="B41" s="22" t="s">
        <v>285</v>
      </c>
      <c r="C41" s="22" t="s">
        <v>59</v>
      </c>
      <c r="D41" s="256">
        <f>35*97/1000</f>
        <v>3.395</v>
      </c>
      <c r="E41" s="256">
        <f>35*97/1000</f>
        <v>3.395</v>
      </c>
      <c r="F41" s="256">
        <f>35*145.5/1000</f>
        <v>5.0925000000000002</v>
      </c>
      <c r="G41" s="257">
        <f>35*145.5/1000</f>
        <v>5.0925000000000002</v>
      </c>
    </row>
    <row r="42" spans="1:7" ht="11.25" customHeight="1" x14ac:dyDescent="0.3">
      <c r="A42" s="255">
        <v>376</v>
      </c>
      <c r="B42" s="22" t="s">
        <v>477</v>
      </c>
      <c r="C42" s="22" t="s">
        <v>71</v>
      </c>
      <c r="D42" s="256">
        <f>100*150/1000</f>
        <v>15</v>
      </c>
      <c r="E42" s="256">
        <f>100*150/1000</f>
        <v>15</v>
      </c>
      <c r="F42" s="256">
        <f>100*180/1000</f>
        <v>18</v>
      </c>
      <c r="G42" s="257">
        <f>100*180/1000</f>
        <v>18</v>
      </c>
    </row>
    <row r="43" spans="1:7" ht="11.25" customHeight="1" x14ac:dyDescent="0.3">
      <c r="A43" s="255"/>
      <c r="B43" s="22" t="s">
        <v>61</v>
      </c>
      <c r="C43" s="22" t="s">
        <v>57</v>
      </c>
      <c r="D43" s="256">
        <f>55*150/1000</f>
        <v>8.25</v>
      </c>
      <c r="E43" s="256">
        <f>55*150/1000</f>
        <v>8.25</v>
      </c>
      <c r="F43" s="256">
        <f>55*180/1000</f>
        <v>9.9</v>
      </c>
      <c r="G43" s="257">
        <f>55*180/1000</f>
        <v>9.9</v>
      </c>
    </row>
    <row r="44" spans="1:7" ht="11.25" customHeight="1" x14ac:dyDescent="0.3">
      <c r="A44" s="255"/>
      <c r="B44" s="22" t="s">
        <v>76</v>
      </c>
      <c r="C44" s="22" t="s">
        <v>50</v>
      </c>
      <c r="D44" s="256">
        <v>20</v>
      </c>
      <c r="E44" s="256">
        <v>20</v>
      </c>
      <c r="F44" s="256">
        <v>25</v>
      </c>
      <c r="G44" s="257">
        <v>25</v>
      </c>
    </row>
    <row r="45" spans="1:7" ht="11.25" customHeight="1" thickBot="1" x14ac:dyDescent="0.35">
      <c r="A45" s="96"/>
      <c r="B45" s="26" t="s">
        <v>18</v>
      </c>
      <c r="C45" s="26" t="s">
        <v>157</v>
      </c>
      <c r="D45" s="258">
        <v>17</v>
      </c>
      <c r="E45" s="258">
        <v>17</v>
      </c>
      <c r="F45" s="258">
        <v>21</v>
      </c>
      <c r="G45" s="259">
        <v>21</v>
      </c>
    </row>
    <row r="46" spans="1:7" ht="11.25" customHeight="1" x14ac:dyDescent="0.3">
      <c r="A46" s="95">
        <v>302</v>
      </c>
      <c r="B46" s="44" t="s">
        <v>270</v>
      </c>
      <c r="C46" s="44" t="s">
        <v>64</v>
      </c>
      <c r="D46" s="253">
        <v>40</v>
      </c>
      <c r="E46" s="253">
        <v>32</v>
      </c>
      <c r="F46" s="253">
        <v>50</v>
      </c>
      <c r="G46" s="254">
        <v>40</v>
      </c>
    </row>
    <row r="47" spans="1:7" ht="11.25" customHeight="1" x14ac:dyDescent="0.3">
      <c r="A47" s="255"/>
      <c r="B47" s="22"/>
      <c r="C47" s="22" t="s">
        <v>185</v>
      </c>
      <c r="D47" s="256">
        <f>E47*1.33</f>
        <v>102.41000000000001</v>
      </c>
      <c r="E47" s="256">
        <v>77</v>
      </c>
      <c r="F47" s="256">
        <f>G47*1.33</f>
        <v>129.01000000000002</v>
      </c>
      <c r="G47" s="257">
        <v>97</v>
      </c>
    </row>
    <row r="48" spans="1:7" ht="11.25" customHeight="1" x14ac:dyDescent="0.3">
      <c r="A48" s="255"/>
      <c r="B48" s="22" t="s">
        <v>352</v>
      </c>
      <c r="C48" s="22" t="s">
        <v>186</v>
      </c>
      <c r="D48" s="256">
        <f>E48*1.43</f>
        <v>110.11</v>
      </c>
      <c r="E48" s="256">
        <v>77</v>
      </c>
      <c r="F48" s="256">
        <f>G48*1.43</f>
        <v>138.71</v>
      </c>
      <c r="G48" s="257">
        <v>97</v>
      </c>
    </row>
    <row r="49" spans="1:7" ht="11.25" customHeight="1" x14ac:dyDescent="0.3">
      <c r="A49" s="255"/>
      <c r="B49" s="22"/>
      <c r="C49" s="22" t="s">
        <v>187</v>
      </c>
      <c r="D49" s="256">
        <f>E49*1.54</f>
        <v>118.58</v>
      </c>
      <c r="E49" s="256">
        <v>77</v>
      </c>
      <c r="F49" s="256">
        <f>G49*1.54</f>
        <v>149.38</v>
      </c>
      <c r="G49" s="257">
        <v>97</v>
      </c>
    </row>
    <row r="50" spans="1:7" ht="11.25" customHeight="1" x14ac:dyDescent="0.3">
      <c r="A50" s="255"/>
      <c r="B50" s="22"/>
      <c r="C50" s="22" t="s">
        <v>188</v>
      </c>
      <c r="D50" s="256">
        <f>E50*1.67</f>
        <v>128.59</v>
      </c>
      <c r="E50" s="256">
        <v>77</v>
      </c>
      <c r="F50" s="256">
        <f>G50*1.67</f>
        <v>161.98999999999998</v>
      </c>
      <c r="G50" s="257">
        <v>97</v>
      </c>
    </row>
    <row r="51" spans="1:7" ht="11.25" customHeight="1" x14ac:dyDescent="0.3">
      <c r="A51" s="255" t="s">
        <v>4</v>
      </c>
      <c r="B51" s="22"/>
      <c r="C51" s="22" t="s">
        <v>237</v>
      </c>
      <c r="D51" s="256">
        <v>89</v>
      </c>
      <c r="E51" s="256">
        <v>79</v>
      </c>
      <c r="F51" s="256">
        <v>118</v>
      </c>
      <c r="G51" s="257">
        <v>105</v>
      </c>
    </row>
    <row r="52" spans="1:7" ht="11.25" customHeight="1" x14ac:dyDescent="0.3">
      <c r="A52" s="255"/>
      <c r="B52" s="22"/>
      <c r="C52" s="22" t="s">
        <v>271</v>
      </c>
      <c r="D52" s="256">
        <v>45</v>
      </c>
      <c r="E52" s="256">
        <v>44</v>
      </c>
      <c r="F52" s="256">
        <v>60</v>
      </c>
      <c r="G52" s="257">
        <v>59</v>
      </c>
    </row>
    <row r="53" spans="1:7" ht="11.25" customHeight="1" x14ac:dyDescent="0.3">
      <c r="A53" s="255"/>
      <c r="B53" s="22"/>
      <c r="C53" s="22" t="s">
        <v>62</v>
      </c>
      <c r="D53" s="256">
        <v>22</v>
      </c>
      <c r="E53" s="256">
        <v>18</v>
      </c>
      <c r="F53" s="256">
        <v>28</v>
      </c>
      <c r="G53" s="257">
        <v>23</v>
      </c>
    </row>
    <row r="54" spans="1:7" ht="11.25" customHeight="1" x14ac:dyDescent="0.3">
      <c r="A54" s="255"/>
      <c r="B54" s="22"/>
      <c r="C54" s="22" t="s">
        <v>159</v>
      </c>
      <c r="D54" s="256">
        <v>8</v>
      </c>
      <c r="E54" s="256">
        <v>5</v>
      </c>
      <c r="F54" s="256">
        <v>10</v>
      </c>
      <c r="G54" s="257">
        <v>6</v>
      </c>
    </row>
    <row r="55" spans="1:7" ht="11.25" customHeight="1" x14ac:dyDescent="0.3">
      <c r="A55" s="255"/>
      <c r="B55" s="22"/>
      <c r="C55" s="22" t="s">
        <v>154</v>
      </c>
      <c r="D55" s="256">
        <v>0.1</v>
      </c>
      <c r="E55" s="256">
        <v>0.1</v>
      </c>
      <c r="F55" s="256">
        <v>0.2</v>
      </c>
      <c r="G55" s="257">
        <v>0.2</v>
      </c>
    </row>
    <row r="56" spans="1:7" ht="11.25" customHeight="1" x14ac:dyDescent="0.3">
      <c r="A56" s="255">
        <v>354</v>
      </c>
      <c r="B56" s="53" t="s">
        <v>272</v>
      </c>
      <c r="C56" s="22" t="s">
        <v>67</v>
      </c>
      <c r="D56" s="256">
        <f>250*30/1000</f>
        <v>7.5</v>
      </c>
      <c r="E56" s="256">
        <f>250*30/1000</f>
        <v>7.5</v>
      </c>
      <c r="F56" s="407">
        <f>250*30/1000</f>
        <v>7.5</v>
      </c>
      <c r="G56" s="408">
        <f>250*30/1000</f>
        <v>7.5</v>
      </c>
    </row>
    <row r="57" spans="1:7" ht="11.25" customHeight="1" x14ac:dyDescent="0.3">
      <c r="A57" s="255"/>
      <c r="B57" s="403" t="s">
        <v>231</v>
      </c>
      <c r="C57" s="22" t="s">
        <v>68</v>
      </c>
      <c r="D57" s="256">
        <f>75*30/1000</f>
        <v>2.25</v>
      </c>
      <c r="E57" s="256">
        <f>75*30/1000</f>
        <v>2.25</v>
      </c>
      <c r="F57" s="407">
        <f>75*30/1000</f>
        <v>2.25</v>
      </c>
      <c r="G57" s="408">
        <f>75*30/1000</f>
        <v>2.25</v>
      </c>
    </row>
    <row r="58" spans="1:7" ht="11.25" customHeight="1" x14ac:dyDescent="0.3">
      <c r="A58" s="255"/>
      <c r="B58" s="22"/>
      <c r="C58" s="22" t="s">
        <v>384</v>
      </c>
      <c r="D58" s="256">
        <f>750*30/1000</f>
        <v>22.5</v>
      </c>
      <c r="E58" s="256">
        <f>750*30/1000</f>
        <v>22.5</v>
      </c>
      <c r="F58" s="407">
        <f>750*30/1000</f>
        <v>22.5</v>
      </c>
      <c r="G58" s="408">
        <f>750*30/1000</f>
        <v>22.5</v>
      </c>
    </row>
    <row r="59" spans="1:7" ht="11.25" customHeight="1" x14ac:dyDescent="0.3">
      <c r="A59" s="255"/>
      <c r="B59" s="22" t="s">
        <v>18</v>
      </c>
      <c r="C59" s="22" t="s">
        <v>54</v>
      </c>
      <c r="D59" s="256">
        <v>17</v>
      </c>
      <c r="E59" s="256">
        <v>17</v>
      </c>
      <c r="F59" s="256">
        <v>21</v>
      </c>
      <c r="G59" s="257">
        <v>21</v>
      </c>
    </row>
    <row r="60" spans="1:7" ht="11.25" customHeight="1" x14ac:dyDescent="0.3">
      <c r="A60" s="183">
        <v>496</v>
      </c>
      <c r="B60" s="22" t="s">
        <v>458</v>
      </c>
      <c r="C60" s="22" t="s">
        <v>119</v>
      </c>
      <c r="D60" s="256">
        <f>40*50/75</f>
        <v>26.666666666666668</v>
      </c>
      <c r="E60" s="256">
        <f>40*50/75</f>
        <v>26.666666666666668</v>
      </c>
      <c r="F60" s="256">
        <f>40*50/75</f>
        <v>26.666666666666668</v>
      </c>
      <c r="G60" s="257">
        <f>40*50/75</f>
        <v>26.666666666666668</v>
      </c>
    </row>
    <row r="61" spans="1:7" ht="11.25" customHeight="1" x14ac:dyDescent="0.3">
      <c r="A61" s="255"/>
      <c r="B61" s="22"/>
      <c r="C61" s="22" t="s">
        <v>468</v>
      </c>
      <c r="D61" s="256">
        <f>2.3*50/75</f>
        <v>1.5333333333333332</v>
      </c>
      <c r="E61" s="256">
        <f>2.3*50/75</f>
        <v>1.5333333333333332</v>
      </c>
      <c r="F61" s="256">
        <f>2.3*50/75</f>
        <v>1.5333333333333332</v>
      </c>
      <c r="G61" s="257">
        <f>2.3*50/75</f>
        <v>1.5333333333333332</v>
      </c>
    </row>
    <row r="62" spans="1:7" ht="11.25" customHeight="1" x14ac:dyDescent="0.3">
      <c r="A62" s="255"/>
      <c r="B62" s="22"/>
      <c r="C62" s="22" t="s">
        <v>57</v>
      </c>
      <c r="D62" s="256">
        <f>21.15*50/75</f>
        <v>14.1</v>
      </c>
      <c r="E62" s="256">
        <f>21.15*50/75</f>
        <v>14.1</v>
      </c>
      <c r="F62" s="256">
        <f>21.15*50/75</f>
        <v>14.1</v>
      </c>
      <c r="G62" s="257">
        <f>21.15*50/75</f>
        <v>14.1</v>
      </c>
    </row>
    <row r="63" spans="1:7" s="18" customFormat="1" ht="11.25" customHeight="1" x14ac:dyDescent="0.3">
      <c r="A63" s="255"/>
      <c r="B63" s="22"/>
      <c r="C63" s="22" t="s">
        <v>154</v>
      </c>
      <c r="D63" s="256">
        <f>9.6*50/75</f>
        <v>6.4</v>
      </c>
      <c r="E63" s="256">
        <f>9.6*50/75</f>
        <v>6.4</v>
      </c>
      <c r="F63" s="256">
        <f>9.6*50/75</f>
        <v>6.4</v>
      </c>
      <c r="G63" s="257">
        <f>9.6*50/75</f>
        <v>6.4</v>
      </c>
    </row>
    <row r="64" spans="1:7" s="18" customFormat="1" ht="11.25" customHeight="1" x14ac:dyDescent="0.3">
      <c r="A64" s="255"/>
      <c r="B64" s="22" t="s">
        <v>418</v>
      </c>
      <c r="C64" s="22" t="s">
        <v>469</v>
      </c>
      <c r="D64" s="256">
        <f>0.612*50/75</f>
        <v>0.40799999999999997</v>
      </c>
      <c r="E64" s="256">
        <f>0.612*50/75</f>
        <v>0.40799999999999997</v>
      </c>
      <c r="F64" s="256">
        <f>0.612*50/75</f>
        <v>0.40799999999999997</v>
      </c>
      <c r="G64" s="257">
        <f>0.612*50/75</f>
        <v>0.40799999999999997</v>
      </c>
    </row>
    <row r="65" spans="1:7" s="18" customFormat="1" ht="11.25" customHeight="1" x14ac:dyDescent="0.3">
      <c r="A65" s="255"/>
      <c r="B65" s="22"/>
      <c r="C65" s="22" t="s">
        <v>160</v>
      </c>
      <c r="D65" s="269">
        <f>0.0019*50/75</f>
        <v>1.2666666666666666E-3</v>
      </c>
      <c r="E65" s="269">
        <f>0.0019*50/75</f>
        <v>1.2666666666666666E-3</v>
      </c>
      <c r="F65" s="269">
        <f>0.0019*50/75</f>
        <v>1.2666666666666666E-3</v>
      </c>
      <c r="G65" s="273">
        <f>0.0019*50/75</f>
        <v>1.2666666666666666E-3</v>
      </c>
    </row>
    <row r="66" spans="1:7" s="18" customFormat="1" ht="11.25" customHeight="1" x14ac:dyDescent="0.3">
      <c r="A66" s="255"/>
      <c r="B66" s="22"/>
      <c r="C66" s="22" t="s">
        <v>53</v>
      </c>
      <c r="D66" s="256">
        <f>7.55*50/75</f>
        <v>5.0333333333333332</v>
      </c>
      <c r="E66" s="256">
        <f>7.55*50/75</f>
        <v>5.0333333333333332</v>
      </c>
      <c r="F66" s="256">
        <f>7.55*50/75</f>
        <v>5.0333333333333332</v>
      </c>
      <c r="G66" s="257">
        <f>7.55*50/75</f>
        <v>5.0333333333333332</v>
      </c>
    </row>
    <row r="67" spans="1:7" s="18" customFormat="1" ht="11.25" customHeight="1" x14ac:dyDescent="0.3">
      <c r="A67" s="255"/>
      <c r="B67" s="22"/>
      <c r="C67" s="22" t="s">
        <v>133</v>
      </c>
      <c r="D67" s="256">
        <f>2.1*50/75</f>
        <v>1.4</v>
      </c>
      <c r="E67" s="256">
        <f>2.1*50/75</f>
        <v>1.4</v>
      </c>
      <c r="F67" s="256">
        <f>2.1*50/75</f>
        <v>1.4</v>
      </c>
      <c r="G67" s="257">
        <f>2.1*50/75</f>
        <v>1.4</v>
      </c>
    </row>
    <row r="68" spans="1:7" s="18" customFormat="1" ht="11.25" customHeight="1" x14ac:dyDescent="0.3">
      <c r="A68" s="255"/>
      <c r="B68" s="22"/>
      <c r="C68" s="22"/>
      <c r="D68" s="256"/>
      <c r="E68" s="256"/>
      <c r="F68" s="256"/>
      <c r="G68" s="257"/>
    </row>
    <row r="69" spans="1:7" s="18" customFormat="1" ht="11.25" customHeight="1" x14ac:dyDescent="0.3">
      <c r="A69" s="255"/>
      <c r="B69" s="22"/>
      <c r="C69" s="22" t="s">
        <v>280</v>
      </c>
      <c r="D69" s="256">
        <f>3*D60/1000</f>
        <v>0.08</v>
      </c>
      <c r="E69" s="256">
        <f>3*E60/1000</f>
        <v>0.08</v>
      </c>
      <c r="F69" s="256">
        <f>3*F60/1000</f>
        <v>0.08</v>
      </c>
      <c r="G69" s="257">
        <f>3*G60/1000</f>
        <v>0.08</v>
      </c>
    </row>
    <row r="70" spans="1:7" s="18" customFormat="1" ht="11.25" customHeight="1" x14ac:dyDescent="0.3">
      <c r="A70" s="255"/>
      <c r="B70" s="22"/>
      <c r="C70" s="22" t="s">
        <v>143</v>
      </c>
      <c r="D70" s="256">
        <f>0.09*50/75</f>
        <v>0.06</v>
      </c>
      <c r="E70" s="256">
        <f>0.09*50/75</f>
        <v>0.06</v>
      </c>
      <c r="F70" s="256">
        <f>0.09*50/75</f>
        <v>0.06</v>
      </c>
      <c r="G70" s="257">
        <f>0.09*50/75</f>
        <v>0.06</v>
      </c>
    </row>
    <row r="71" spans="1:7" s="18" customFormat="1" ht="11.25" customHeight="1" x14ac:dyDescent="0.3">
      <c r="A71" s="183">
        <v>400</v>
      </c>
      <c r="B71" s="22" t="s">
        <v>433</v>
      </c>
      <c r="C71" s="22" t="s">
        <v>53</v>
      </c>
      <c r="D71" s="256">
        <v>158</v>
      </c>
      <c r="E71" s="256">
        <v>150</v>
      </c>
      <c r="F71" s="256">
        <v>189</v>
      </c>
      <c r="G71" s="257">
        <v>180</v>
      </c>
    </row>
    <row r="72" spans="1:7" s="18" customFormat="1" ht="11.25" customHeight="1" x14ac:dyDescent="0.3">
      <c r="A72" s="183"/>
      <c r="B72" s="22"/>
      <c r="C72" s="22"/>
      <c r="D72" s="256"/>
      <c r="E72" s="256"/>
      <c r="F72" s="256"/>
      <c r="G72" s="257"/>
    </row>
    <row r="73" spans="1:7" s="18" customFormat="1" ht="11.25" customHeight="1" x14ac:dyDescent="0.3">
      <c r="A73" s="255"/>
      <c r="B73" s="22"/>
      <c r="C73" s="22"/>
      <c r="D73" s="256"/>
      <c r="E73" s="256"/>
      <c r="F73" s="256"/>
      <c r="G73" s="257"/>
    </row>
    <row r="74" spans="1:7" s="18" customFormat="1" ht="54.65" customHeight="1" thickBot="1" x14ac:dyDescent="0.35">
      <c r="A74" s="96"/>
      <c r="B74" s="26"/>
      <c r="C74" s="26"/>
      <c r="D74" s="258"/>
      <c r="E74" s="258"/>
      <c r="F74" s="258"/>
      <c r="G74" s="259"/>
    </row>
    <row r="75" spans="1:7" s="18" customFormat="1" ht="10.5" customHeight="1" thickBot="1" x14ac:dyDescent="0.35">
      <c r="A75" s="161"/>
      <c r="B75" s="590" t="s">
        <v>11</v>
      </c>
      <c r="C75" s="162"/>
      <c r="D75" s="583" t="s">
        <v>72</v>
      </c>
      <c r="E75" s="584"/>
      <c r="F75" s="583" t="s">
        <v>73</v>
      </c>
      <c r="G75" s="584"/>
    </row>
    <row r="76" spans="1:7" s="18" customFormat="1" ht="10.5" customHeight="1" thickBot="1" x14ac:dyDescent="0.35">
      <c r="A76" s="163" t="s">
        <v>148</v>
      </c>
      <c r="B76" s="591"/>
      <c r="C76" s="164"/>
      <c r="D76" s="206" t="s">
        <v>96</v>
      </c>
      <c r="E76" s="207" t="s">
        <v>48</v>
      </c>
      <c r="F76" s="206" t="s">
        <v>96</v>
      </c>
      <c r="G76" s="207" t="s">
        <v>48</v>
      </c>
    </row>
    <row r="77" spans="1:7" s="18" customFormat="1" ht="10.5" customHeight="1" x14ac:dyDescent="0.3">
      <c r="A77" s="270">
        <v>235</v>
      </c>
      <c r="B77" s="44" t="s">
        <v>263</v>
      </c>
      <c r="C77" s="57" t="s">
        <v>97</v>
      </c>
      <c r="D77" s="253">
        <f>38*90/50</f>
        <v>68.400000000000006</v>
      </c>
      <c r="E77" s="253">
        <f>37.5*90/50</f>
        <v>67.5</v>
      </c>
      <c r="F77" s="253">
        <v>76</v>
      </c>
      <c r="G77" s="254">
        <v>75</v>
      </c>
    </row>
    <row r="78" spans="1:7" s="18" customFormat="1" ht="10.5" customHeight="1" x14ac:dyDescent="0.3">
      <c r="A78" s="255"/>
      <c r="B78" s="22" t="s">
        <v>349</v>
      </c>
      <c r="C78" s="53" t="s">
        <v>98</v>
      </c>
      <c r="D78" s="256">
        <f>4*90/50</f>
        <v>7.2</v>
      </c>
      <c r="E78" s="256">
        <f>4*90/50</f>
        <v>7.2</v>
      </c>
      <c r="F78" s="256">
        <v>8</v>
      </c>
      <c r="G78" s="257">
        <v>8</v>
      </c>
    </row>
    <row r="79" spans="1:7" s="18" customFormat="1" ht="10.5" customHeight="1" x14ac:dyDescent="0.3">
      <c r="A79" s="255"/>
      <c r="B79" s="22"/>
      <c r="C79" s="53" t="s">
        <v>133</v>
      </c>
      <c r="D79" s="256">
        <f>2.5*90/50</f>
        <v>4.5</v>
      </c>
      <c r="E79" s="256">
        <f>2.5*90/50</f>
        <v>4.5</v>
      </c>
      <c r="F79" s="256">
        <v>5</v>
      </c>
      <c r="G79" s="257">
        <v>5</v>
      </c>
    </row>
    <row r="80" spans="1:7" s="18" customFormat="1" ht="10.5" customHeight="1" x14ac:dyDescent="0.3">
      <c r="A80" s="255"/>
      <c r="B80" s="22"/>
      <c r="C80" s="53" t="s">
        <v>57</v>
      </c>
      <c r="D80" s="256">
        <f>4*90/50</f>
        <v>7.2</v>
      </c>
      <c r="E80" s="256">
        <f>4*90/50</f>
        <v>7.2</v>
      </c>
      <c r="F80" s="256">
        <v>8</v>
      </c>
      <c r="G80" s="257">
        <v>8</v>
      </c>
    </row>
    <row r="81" spans="1:7" s="18" customFormat="1" ht="10.5" customHeight="1" x14ac:dyDescent="0.3">
      <c r="A81" s="255"/>
      <c r="B81" s="22"/>
      <c r="C81" s="53" t="s">
        <v>316</v>
      </c>
      <c r="D81" s="256">
        <f>5.1*90/50</f>
        <v>9.18</v>
      </c>
      <c r="E81" s="256">
        <f>5*90/50</f>
        <v>9</v>
      </c>
      <c r="F81" s="256">
        <v>10.199999999999999</v>
      </c>
      <c r="G81" s="257">
        <v>10</v>
      </c>
    </row>
    <row r="82" spans="1:7" s="18" customFormat="1" ht="10.5" customHeight="1" x14ac:dyDescent="0.3">
      <c r="A82" s="255"/>
      <c r="B82" s="22"/>
      <c r="C82" s="53" t="s">
        <v>160</v>
      </c>
      <c r="D82" s="271">
        <f>0.01*90/50</f>
        <v>1.8000000000000002E-2</v>
      </c>
      <c r="E82" s="271">
        <f>0.01*90/50</f>
        <v>1.8000000000000002E-2</v>
      </c>
      <c r="F82" s="271">
        <v>0.01</v>
      </c>
      <c r="G82" s="272">
        <v>0.01</v>
      </c>
    </row>
    <row r="83" spans="1:7" s="18" customFormat="1" ht="10.5" customHeight="1" x14ac:dyDescent="0.3">
      <c r="A83" s="255"/>
      <c r="B83" s="22"/>
      <c r="C83" s="53" t="s">
        <v>154</v>
      </c>
      <c r="D83" s="256">
        <f>2*90/50</f>
        <v>3.6</v>
      </c>
      <c r="E83" s="256">
        <f>2*90/50</f>
        <v>3.6</v>
      </c>
      <c r="F83" s="256">
        <v>4</v>
      </c>
      <c r="G83" s="257">
        <v>4</v>
      </c>
    </row>
    <row r="84" spans="1:7" s="18" customFormat="1" ht="10.5" customHeight="1" x14ac:dyDescent="0.3">
      <c r="A84" s="255"/>
      <c r="B84" s="22"/>
      <c r="C84" s="53" t="s">
        <v>67</v>
      </c>
      <c r="D84" s="256">
        <f>2*90/50</f>
        <v>3.6</v>
      </c>
      <c r="E84" s="256">
        <f>2*90/50</f>
        <v>3.6</v>
      </c>
      <c r="F84" s="256">
        <v>4</v>
      </c>
      <c r="G84" s="257">
        <v>4</v>
      </c>
    </row>
    <row r="85" spans="1:7" s="18" customFormat="1" ht="10.5" customHeight="1" x14ac:dyDescent="0.3">
      <c r="A85" s="255"/>
      <c r="B85" s="22"/>
      <c r="C85" s="53" t="s">
        <v>313</v>
      </c>
      <c r="D85" s="256">
        <f>E85*1.56</f>
        <v>5.6160000000000005</v>
      </c>
      <c r="E85" s="256">
        <f>2*90/50</f>
        <v>3.6</v>
      </c>
      <c r="F85" s="256">
        <f>G85*1.56</f>
        <v>6.24</v>
      </c>
      <c r="G85" s="257">
        <v>4</v>
      </c>
    </row>
    <row r="86" spans="1:7" s="18" customFormat="1" ht="10.5" customHeight="1" x14ac:dyDescent="0.3">
      <c r="A86" s="183">
        <v>351</v>
      </c>
      <c r="B86" s="22" t="s">
        <v>252</v>
      </c>
      <c r="C86" s="53" t="s">
        <v>53</v>
      </c>
      <c r="D86" s="256">
        <f>500*30/1000</f>
        <v>15</v>
      </c>
      <c r="E86" s="257">
        <f>500*30/1000</f>
        <v>15</v>
      </c>
      <c r="F86" s="256">
        <f>500*30/1000</f>
        <v>15</v>
      </c>
      <c r="G86" s="257">
        <f>500*30/1000</f>
        <v>15</v>
      </c>
    </row>
    <row r="87" spans="1:7" s="18" customFormat="1" ht="10.5" customHeight="1" x14ac:dyDescent="0.3">
      <c r="A87" s="255"/>
      <c r="B87" s="22"/>
      <c r="C87" s="53" t="s">
        <v>154</v>
      </c>
      <c r="D87" s="256">
        <f t="shared" ref="D87:G88" si="0">45*30/1000</f>
        <v>1.35</v>
      </c>
      <c r="E87" s="257">
        <f t="shared" si="0"/>
        <v>1.35</v>
      </c>
      <c r="F87" s="256">
        <f t="shared" si="0"/>
        <v>1.35</v>
      </c>
      <c r="G87" s="257">
        <f t="shared" si="0"/>
        <v>1.35</v>
      </c>
    </row>
    <row r="88" spans="1:7" s="18" customFormat="1" ht="10.5" customHeight="1" x14ac:dyDescent="0.3">
      <c r="A88" s="255"/>
      <c r="B88" s="22"/>
      <c r="C88" s="53" t="s">
        <v>119</v>
      </c>
      <c r="D88" s="271">
        <f t="shared" si="0"/>
        <v>1.35</v>
      </c>
      <c r="E88" s="272">
        <f t="shared" si="0"/>
        <v>1.35</v>
      </c>
      <c r="F88" s="271">
        <f t="shared" si="0"/>
        <v>1.35</v>
      </c>
      <c r="G88" s="272">
        <f t="shared" si="0"/>
        <v>1.35</v>
      </c>
    </row>
    <row r="89" spans="1:7" s="18" customFormat="1" ht="10.5" customHeight="1" x14ac:dyDescent="0.3">
      <c r="A89" s="255"/>
      <c r="B89" s="22"/>
      <c r="C89" s="53" t="s">
        <v>56</v>
      </c>
      <c r="D89" s="256">
        <f>500*30/1000</f>
        <v>15</v>
      </c>
      <c r="E89" s="257">
        <f>500*30/1000</f>
        <v>15</v>
      </c>
      <c r="F89" s="256">
        <f>500*30/1000</f>
        <v>15</v>
      </c>
      <c r="G89" s="257">
        <f>500*30/1000</f>
        <v>15</v>
      </c>
    </row>
    <row r="90" spans="1:7" s="18" customFormat="1" ht="10.5" customHeight="1" x14ac:dyDescent="0.3">
      <c r="A90" s="255"/>
      <c r="B90" s="22"/>
      <c r="C90" s="53" t="s">
        <v>57</v>
      </c>
      <c r="D90" s="256">
        <f>80*30/1000</f>
        <v>2.4</v>
      </c>
      <c r="E90" s="257">
        <f>80*30/1000</f>
        <v>2.4</v>
      </c>
      <c r="F90" s="256">
        <f>80*30/1000</f>
        <v>2.4</v>
      </c>
      <c r="G90" s="257">
        <f>80*30/1000</f>
        <v>2.4</v>
      </c>
    </row>
    <row r="91" spans="1:7" s="18" customFormat="1" ht="10.5" customHeight="1" x14ac:dyDescent="0.3">
      <c r="A91" s="255"/>
      <c r="B91" s="22"/>
      <c r="C91" s="53" t="s">
        <v>160</v>
      </c>
      <c r="D91" s="269">
        <f>0.05*30/1000</f>
        <v>1.5E-3</v>
      </c>
      <c r="E91" s="273">
        <f>0.05*30/1000</f>
        <v>1.5E-3</v>
      </c>
      <c r="F91" s="269">
        <f>0.05*30/1000</f>
        <v>1.5E-3</v>
      </c>
      <c r="G91" s="273">
        <f>0.05*30/1000</f>
        <v>1.5E-3</v>
      </c>
    </row>
    <row r="92" spans="1:7" s="18" customFormat="1" ht="10.5" customHeight="1" x14ac:dyDescent="0.3">
      <c r="A92" s="255">
        <v>1</v>
      </c>
      <c r="B92" s="22" t="s">
        <v>473</v>
      </c>
      <c r="C92" s="22" t="s">
        <v>474</v>
      </c>
      <c r="D92" s="256">
        <v>24</v>
      </c>
      <c r="E92" s="256">
        <v>24</v>
      </c>
      <c r="F92" s="256">
        <v>30</v>
      </c>
      <c r="G92" s="257">
        <v>30</v>
      </c>
    </row>
    <row r="93" spans="1:7" s="18" customFormat="1" ht="10.5" customHeight="1" x14ac:dyDescent="0.3">
      <c r="A93" s="183">
        <v>394</v>
      </c>
      <c r="B93" s="22" t="s">
        <v>52</v>
      </c>
      <c r="C93" s="22" t="s">
        <v>53</v>
      </c>
      <c r="D93" s="24">
        <v>92</v>
      </c>
      <c r="E93" s="256">
        <v>92</v>
      </c>
      <c r="F93" s="24">
        <v>110</v>
      </c>
      <c r="G93" s="257">
        <v>110</v>
      </c>
    </row>
    <row r="94" spans="1:7" s="18" customFormat="1" ht="10.5" customHeight="1" x14ac:dyDescent="0.3">
      <c r="A94" s="274"/>
      <c r="B94" s="36"/>
      <c r="C94" s="22" t="s">
        <v>404</v>
      </c>
      <c r="D94" s="256">
        <f>10*20/1000</f>
        <v>0.2</v>
      </c>
      <c r="E94" s="256">
        <f>10*20/1000</f>
        <v>0.2</v>
      </c>
      <c r="F94" s="256">
        <f>10*30/1000</f>
        <v>0.3</v>
      </c>
      <c r="G94" s="257">
        <f>10*30/1000</f>
        <v>0.3</v>
      </c>
    </row>
    <row r="95" spans="1:7" s="18" customFormat="1" ht="10.5" customHeight="1" x14ac:dyDescent="0.3">
      <c r="A95" s="274"/>
      <c r="B95" s="36"/>
      <c r="C95" s="22" t="s">
        <v>57</v>
      </c>
      <c r="D95" s="256">
        <v>7</v>
      </c>
      <c r="E95" s="256">
        <v>7</v>
      </c>
      <c r="F95" s="256">
        <v>10</v>
      </c>
      <c r="G95" s="257">
        <v>10</v>
      </c>
    </row>
    <row r="96" spans="1:7" s="18" customFormat="1" ht="10.5" customHeight="1" thickBot="1" x14ac:dyDescent="0.35">
      <c r="A96" s="96"/>
      <c r="B96" s="26"/>
      <c r="C96" s="26" t="s">
        <v>56</v>
      </c>
      <c r="D96" s="31">
        <v>40</v>
      </c>
      <c r="E96" s="258">
        <v>40</v>
      </c>
      <c r="F96" s="31">
        <v>60</v>
      </c>
      <c r="G96" s="259">
        <v>60</v>
      </c>
    </row>
    <row r="97" spans="1:7" s="18" customFormat="1" ht="10.5" customHeight="1" thickBot="1" x14ac:dyDescent="0.35">
      <c r="A97" s="275">
        <v>368</v>
      </c>
      <c r="B97" s="180" t="s">
        <v>169</v>
      </c>
      <c r="C97" s="180" t="s">
        <v>193</v>
      </c>
      <c r="D97" s="412">
        <v>109</v>
      </c>
      <c r="E97" s="412">
        <v>95</v>
      </c>
      <c r="F97" s="276">
        <v>114</v>
      </c>
      <c r="G97" s="277">
        <v>100</v>
      </c>
    </row>
    <row r="98" spans="1:7" s="18" customFormat="1" ht="10.5" customHeight="1" x14ac:dyDescent="0.3">
      <c r="A98" s="289">
        <v>14</v>
      </c>
      <c r="B98" s="44" t="s">
        <v>521</v>
      </c>
      <c r="C98" s="57" t="s">
        <v>504</v>
      </c>
      <c r="D98" s="405">
        <f>847*30/720</f>
        <v>35.291666666666664</v>
      </c>
      <c r="E98" s="405">
        <v>30</v>
      </c>
      <c r="F98" s="253"/>
      <c r="G98" s="254"/>
    </row>
    <row r="99" spans="1:7" s="18" customFormat="1" ht="10.5" customHeight="1" x14ac:dyDescent="0.3">
      <c r="A99" s="290">
        <v>10</v>
      </c>
      <c r="B99" s="22" t="s">
        <v>522</v>
      </c>
      <c r="C99" s="53" t="s">
        <v>470</v>
      </c>
      <c r="D99" s="256"/>
      <c r="E99" s="256"/>
      <c r="F99" s="407">
        <f>1462*50/1000</f>
        <v>73.099999999999994</v>
      </c>
      <c r="G99" s="408">
        <f>950*50/1000</f>
        <v>47.5</v>
      </c>
    </row>
    <row r="100" spans="1:7" s="18" customFormat="1" ht="10.5" customHeight="1" x14ac:dyDescent="0.3">
      <c r="A100" s="255"/>
      <c r="B100" s="22"/>
      <c r="C100" s="22" t="s">
        <v>471</v>
      </c>
      <c r="D100" s="256"/>
      <c r="E100" s="256"/>
      <c r="F100" s="407">
        <f>13.5*50/1000</f>
        <v>0.67500000000000004</v>
      </c>
      <c r="G100" s="408">
        <f>10*50/1000</f>
        <v>0.5</v>
      </c>
    </row>
    <row r="101" spans="1:7" s="18" customFormat="1" ht="10.5" customHeight="1" x14ac:dyDescent="0.3">
      <c r="A101" s="255"/>
      <c r="B101" s="22"/>
      <c r="C101" s="22" t="s">
        <v>472</v>
      </c>
      <c r="D101" s="256"/>
      <c r="E101" s="256"/>
      <c r="F101" s="407">
        <f>13.5*50/1000</f>
        <v>0.67500000000000004</v>
      </c>
      <c r="G101" s="408">
        <f>10*50/1000</f>
        <v>0.5</v>
      </c>
    </row>
    <row r="102" spans="1:7" s="18" customFormat="1" ht="10.5" customHeight="1" x14ac:dyDescent="0.3">
      <c r="A102" s="255"/>
      <c r="B102" s="22"/>
      <c r="C102" s="22" t="s">
        <v>113</v>
      </c>
      <c r="D102" s="256"/>
      <c r="E102" s="256"/>
      <c r="F102" s="407">
        <f>50*50/1000</f>
        <v>2.5</v>
      </c>
      <c r="G102" s="408">
        <f>50*50/1000</f>
        <v>2.5</v>
      </c>
    </row>
    <row r="103" spans="1:7" s="18" customFormat="1" ht="10.5" customHeight="1" x14ac:dyDescent="0.3">
      <c r="A103" s="183">
        <v>67</v>
      </c>
      <c r="B103" s="22" t="s">
        <v>254</v>
      </c>
      <c r="C103" s="22" t="s">
        <v>185</v>
      </c>
      <c r="D103" s="407">
        <f>E103*1.33</f>
        <v>23.94</v>
      </c>
      <c r="E103" s="407">
        <f>120*150/1000</f>
        <v>18</v>
      </c>
      <c r="F103" s="407">
        <f>G103*1.33</f>
        <v>28.728000000000005</v>
      </c>
      <c r="G103" s="408">
        <f>120*180/1000</f>
        <v>21.6</v>
      </c>
    </row>
    <row r="104" spans="1:7" s="18" customFormat="1" ht="10.5" customHeight="1" x14ac:dyDescent="0.3">
      <c r="A104" s="255"/>
      <c r="B104" s="413" t="s">
        <v>523</v>
      </c>
      <c r="C104" s="22" t="s">
        <v>186</v>
      </c>
      <c r="D104" s="407">
        <f>E104*1.43</f>
        <v>25.74</v>
      </c>
      <c r="E104" s="407">
        <f>120*150/1000</f>
        <v>18</v>
      </c>
      <c r="F104" s="407">
        <f>G104*1.43</f>
        <v>30.888000000000002</v>
      </c>
      <c r="G104" s="408">
        <f>120*180/1000</f>
        <v>21.6</v>
      </c>
    </row>
    <row r="105" spans="1:7" s="18" customFormat="1" ht="10.5" customHeight="1" x14ac:dyDescent="0.3">
      <c r="A105" s="255"/>
      <c r="B105" s="53"/>
      <c r="C105" s="22" t="s">
        <v>187</v>
      </c>
      <c r="D105" s="407">
        <f>E105*1.54</f>
        <v>27.72</v>
      </c>
      <c r="E105" s="407">
        <f>120*150/1000</f>
        <v>18</v>
      </c>
      <c r="F105" s="407">
        <f>G105*1.54</f>
        <v>33.264000000000003</v>
      </c>
      <c r="G105" s="408">
        <f>120*180/1000</f>
        <v>21.6</v>
      </c>
    </row>
    <row r="106" spans="1:7" s="18" customFormat="1" ht="10.5" customHeight="1" x14ac:dyDescent="0.3">
      <c r="A106" s="255"/>
      <c r="B106" s="53"/>
      <c r="C106" s="22" t="s">
        <v>188</v>
      </c>
      <c r="D106" s="407">
        <f>E106*1.67</f>
        <v>30.06</v>
      </c>
      <c r="E106" s="407">
        <f>120*150/1000</f>
        <v>18</v>
      </c>
      <c r="F106" s="407">
        <f>G106*1.67</f>
        <v>36.072000000000003</v>
      </c>
      <c r="G106" s="408">
        <f>120*180/1000</f>
        <v>21.6</v>
      </c>
    </row>
    <row r="107" spans="1:7" s="18" customFormat="1" ht="10.5" customHeight="1" x14ac:dyDescent="0.3">
      <c r="A107" s="255"/>
      <c r="B107" s="53"/>
      <c r="C107" s="22" t="s">
        <v>249</v>
      </c>
      <c r="D107" s="407">
        <f>250*150/1000</f>
        <v>37.5</v>
      </c>
      <c r="E107" s="407">
        <f>200*150/1000</f>
        <v>30</v>
      </c>
      <c r="F107" s="407">
        <f>250*180/1000</f>
        <v>45</v>
      </c>
      <c r="G107" s="408">
        <f>200*180/1000</f>
        <v>36</v>
      </c>
    </row>
    <row r="108" spans="1:7" s="18" customFormat="1" ht="10.5" customHeight="1" x14ac:dyDescent="0.3">
      <c r="A108" s="255"/>
      <c r="B108" s="53"/>
      <c r="C108" s="53" t="s">
        <v>64</v>
      </c>
      <c r="D108" s="407">
        <f>63*150/1000</f>
        <v>9.4499999999999993</v>
      </c>
      <c r="E108" s="407">
        <f>50*150/1000</f>
        <v>7.5</v>
      </c>
      <c r="F108" s="407">
        <f>63*180/1000</f>
        <v>11.34</v>
      </c>
      <c r="G108" s="408">
        <f>50*180/1000</f>
        <v>9</v>
      </c>
    </row>
    <row r="109" spans="1:7" s="18" customFormat="1" ht="10.5" customHeight="1" x14ac:dyDescent="0.3">
      <c r="A109" s="255"/>
      <c r="B109" s="22"/>
      <c r="C109" s="53" t="s">
        <v>62</v>
      </c>
      <c r="D109" s="407">
        <f>48*150/1000</f>
        <v>7.2</v>
      </c>
      <c r="E109" s="407">
        <f>40*150/1000</f>
        <v>6</v>
      </c>
      <c r="F109" s="407">
        <f>48*180/1000</f>
        <v>8.64</v>
      </c>
      <c r="G109" s="408">
        <f>40*180/1000</f>
        <v>7.2</v>
      </c>
    </row>
    <row r="110" spans="1:7" s="18" customFormat="1" ht="10.5" customHeight="1" x14ac:dyDescent="0.3">
      <c r="A110" s="255"/>
      <c r="B110" s="22"/>
      <c r="C110" s="53" t="s">
        <v>115</v>
      </c>
      <c r="D110" s="407">
        <v>0</v>
      </c>
      <c r="E110" s="407">
        <v>0</v>
      </c>
      <c r="F110" s="407">
        <f>4*180/1000</f>
        <v>0.72</v>
      </c>
      <c r="G110" s="408">
        <f>4*180/1000</f>
        <v>0.72</v>
      </c>
    </row>
    <row r="111" spans="1:7" s="18" customFormat="1" ht="11.25" customHeight="1" x14ac:dyDescent="0.3">
      <c r="A111" s="255"/>
      <c r="B111" s="22"/>
      <c r="C111" s="53" t="s">
        <v>113</v>
      </c>
      <c r="D111" s="407">
        <f>10*150/1000</f>
        <v>1.5</v>
      </c>
      <c r="E111" s="407">
        <v>1.5</v>
      </c>
      <c r="F111" s="407">
        <f>10*180/1000</f>
        <v>1.8</v>
      </c>
      <c r="G111" s="408">
        <f>10*180/1000</f>
        <v>1.8</v>
      </c>
    </row>
    <row r="112" spans="1:7" s="18" customFormat="1" ht="10.5" customHeight="1" x14ac:dyDescent="0.3">
      <c r="A112" s="255"/>
      <c r="B112" s="22"/>
      <c r="C112" s="278" t="s">
        <v>216</v>
      </c>
      <c r="D112" s="256">
        <f>84*10/60</f>
        <v>14</v>
      </c>
      <c r="E112" s="256">
        <f>82*10/60</f>
        <v>13.666666666666666</v>
      </c>
      <c r="F112" s="256">
        <f>84*10/60</f>
        <v>14</v>
      </c>
      <c r="G112" s="257">
        <f>82*10/60</f>
        <v>13.666666666666666</v>
      </c>
    </row>
    <row r="113" spans="1:7" s="18" customFormat="1" ht="10.5" customHeight="1" x14ac:dyDescent="0.3">
      <c r="A113" s="279"/>
      <c r="B113" s="22"/>
      <c r="C113" s="53" t="s">
        <v>67</v>
      </c>
      <c r="D113" s="280">
        <v>10</v>
      </c>
      <c r="E113" s="280">
        <v>10</v>
      </c>
      <c r="F113" s="280">
        <v>10</v>
      </c>
      <c r="G113" s="281">
        <v>10</v>
      </c>
    </row>
    <row r="114" spans="1:7" s="18" customFormat="1" ht="10.5" customHeight="1" x14ac:dyDescent="0.3">
      <c r="A114" s="183">
        <v>282</v>
      </c>
      <c r="B114" s="22" t="s">
        <v>306</v>
      </c>
      <c r="C114" s="278" t="s">
        <v>77</v>
      </c>
      <c r="D114" s="256">
        <f>E114*1.095</f>
        <v>40.15</v>
      </c>
      <c r="E114" s="256">
        <f>44*50/60</f>
        <v>36.666666666666664</v>
      </c>
      <c r="F114" s="256">
        <f>G114*1.095</f>
        <v>48.18</v>
      </c>
      <c r="G114" s="257">
        <v>44</v>
      </c>
    </row>
    <row r="115" spans="1:7" s="18" customFormat="1" ht="10.5" customHeight="1" x14ac:dyDescent="0.3">
      <c r="A115" s="279"/>
      <c r="B115" s="22" t="s">
        <v>425</v>
      </c>
      <c r="C115" s="278" t="s">
        <v>54</v>
      </c>
      <c r="D115" s="256">
        <f>11*50/60</f>
        <v>9.1666666666666661</v>
      </c>
      <c r="E115" s="256">
        <f>11*50/60</f>
        <v>9.1666666666666661</v>
      </c>
      <c r="F115" s="256">
        <v>11</v>
      </c>
      <c r="G115" s="257">
        <v>11</v>
      </c>
    </row>
    <row r="116" spans="1:7" s="18" customFormat="1" ht="10.5" customHeight="1" x14ac:dyDescent="0.3">
      <c r="A116" s="279"/>
      <c r="B116" s="53"/>
      <c r="C116" s="22" t="s">
        <v>210</v>
      </c>
      <c r="D116" s="256">
        <f>14*50/60</f>
        <v>11.666666666666666</v>
      </c>
      <c r="E116" s="256">
        <f>14*50/60</f>
        <v>11.666666666666666</v>
      </c>
      <c r="F116" s="256">
        <v>14</v>
      </c>
      <c r="G116" s="257">
        <v>14</v>
      </c>
    </row>
    <row r="117" spans="1:7" s="18" customFormat="1" ht="10.5" customHeight="1" x14ac:dyDescent="0.3">
      <c r="A117" s="279"/>
      <c r="B117" s="22"/>
      <c r="C117" s="53" t="s">
        <v>313</v>
      </c>
      <c r="D117" s="280">
        <f>E117*1.56</f>
        <v>7.8000000000000007</v>
      </c>
      <c r="E117" s="280">
        <f>6*50/60</f>
        <v>5</v>
      </c>
      <c r="F117" s="280">
        <f>G117*1.56</f>
        <v>9.36</v>
      </c>
      <c r="G117" s="281">
        <v>6</v>
      </c>
    </row>
    <row r="118" spans="1:7" s="18" customFormat="1" ht="10.5" customHeight="1" x14ac:dyDescent="0.3">
      <c r="A118" s="279"/>
      <c r="B118" s="22" t="s">
        <v>426</v>
      </c>
      <c r="C118" s="22" t="s">
        <v>113</v>
      </c>
      <c r="D118" s="256">
        <f>4*50/60</f>
        <v>3.3333333333333335</v>
      </c>
      <c r="E118" s="256">
        <f>4*50/60</f>
        <v>3.3333333333333335</v>
      </c>
      <c r="F118" s="256">
        <v>4</v>
      </c>
      <c r="G118" s="257">
        <v>4</v>
      </c>
    </row>
    <row r="119" spans="1:7" s="18" customFormat="1" ht="10.5" customHeight="1" x14ac:dyDescent="0.3">
      <c r="A119" s="279"/>
      <c r="B119" s="22"/>
      <c r="C119" s="22" t="s">
        <v>154</v>
      </c>
      <c r="D119" s="256">
        <v>5</v>
      </c>
      <c r="E119" s="256">
        <v>5</v>
      </c>
      <c r="F119" s="256">
        <v>5</v>
      </c>
      <c r="G119" s="257">
        <v>5</v>
      </c>
    </row>
    <row r="120" spans="1:7" s="18" customFormat="1" ht="10.5" customHeight="1" x14ac:dyDescent="0.3">
      <c r="A120" s="183">
        <v>133</v>
      </c>
      <c r="B120" s="22" t="s">
        <v>311</v>
      </c>
      <c r="C120" s="22" t="s">
        <v>185</v>
      </c>
      <c r="D120" s="407">
        <f>E120*1.33</f>
        <v>134.596</v>
      </c>
      <c r="E120" s="414">
        <f>92*110/100</f>
        <v>101.2</v>
      </c>
      <c r="F120" s="407">
        <f>G120*1.33</f>
        <v>159.06800000000001</v>
      </c>
      <c r="G120" s="415">
        <f>92*130/100</f>
        <v>119.6</v>
      </c>
    </row>
    <row r="121" spans="1:7" s="18" customFormat="1" ht="10.5" customHeight="1" x14ac:dyDescent="0.3">
      <c r="A121" s="279"/>
      <c r="B121" s="403" t="s">
        <v>524</v>
      </c>
      <c r="C121" s="22" t="s">
        <v>186</v>
      </c>
      <c r="D121" s="407">
        <f>E121*1.43</f>
        <v>144.71600000000001</v>
      </c>
      <c r="E121" s="414">
        <f>92*110/100</f>
        <v>101.2</v>
      </c>
      <c r="F121" s="407">
        <f>G121*1.43</f>
        <v>171.02799999999999</v>
      </c>
      <c r="G121" s="415">
        <f>92*130/100</f>
        <v>119.6</v>
      </c>
    </row>
    <row r="122" spans="1:7" s="18" customFormat="1" ht="10.5" customHeight="1" x14ac:dyDescent="0.3">
      <c r="A122" s="279"/>
      <c r="B122" s="22"/>
      <c r="C122" s="22" t="s">
        <v>187</v>
      </c>
      <c r="D122" s="407">
        <f>E122*1.54</f>
        <v>155.84800000000001</v>
      </c>
      <c r="E122" s="414">
        <f>92*110/100</f>
        <v>101.2</v>
      </c>
      <c r="F122" s="407">
        <f>G122*1.54</f>
        <v>184.184</v>
      </c>
      <c r="G122" s="415">
        <f>92*130/100</f>
        <v>119.6</v>
      </c>
    </row>
    <row r="123" spans="1:7" s="18" customFormat="1" ht="10.5" customHeight="1" x14ac:dyDescent="0.3">
      <c r="A123" s="279"/>
      <c r="B123" s="22"/>
      <c r="C123" s="22" t="s">
        <v>188</v>
      </c>
      <c r="D123" s="407">
        <f>E123*1.67</f>
        <v>169.00399999999999</v>
      </c>
      <c r="E123" s="414">
        <f>92*110/100</f>
        <v>101.2</v>
      </c>
      <c r="F123" s="407">
        <f>G123*1.67</f>
        <v>199.73199999999997</v>
      </c>
      <c r="G123" s="415">
        <f>92*130/100</f>
        <v>119.6</v>
      </c>
    </row>
    <row r="124" spans="1:7" s="18" customFormat="1" ht="10.5" customHeight="1" x14ac:dyDescent="0.3">
      <c r="A124" s="279"/>
      <c r="B124" s="22"/>
      <c r="C124" s="53" t="s">
        <v>113</v>
      </c>
      <c r="D124" s="416">
        <f>5*110/100</f>
        <v>5.5</v>
      </c>
      <c r="E124" s="416">
        <f>5*110/100</f>
        <v>5.5</v>
      </c>
      <c r="F124" s="416">
        <v>8</v>
      </c>
      <c r="G124" s="417">
        <v>8</v>
      </c>
    </row>
    <row r="125" spans="1:7" s="18" customFormat="1" ht="10.5" customHeight="1" x14ac:dyDescent="0.3">
      <c r="A125" s="279"/>
      <c r="B125" s="22"/>
      <c r="C125" s="53" t="s">
        <v>62</v>
      </c>
      <c r="D125" s="416">
        <f>6*110/100</f>
        <v>6.6</v>
      </c>
      <c r="E125" s="416">
        <f>5*110/100</f>
        <v>5.5</v>
      </c>
      <c r="F125" s="416">
        <v>8</v>
      </c>
      <c r="G125" s="417">
        <v>7</v>
      </c>
    </row>
    <row r="126" spans="1:7" s="18" customFormat="1" ht="10.5" customHeight="1" x14ac:dyDescent="0.3">
      <c r="A126" s="279"/>
      <c r="B126" s="22"/>
      <c r="C126" s="53" t="s">
        <v>64</v>
      </c>
      <c r="D126" s="416">
        <f>7*110/100</f>
        <v>7.7</v>
      </c>
      <c r="E126" s="416">
        <f>5*110/100</f>
        <v>5.5</v>
      </c>
      <c r="F126" s="416">
        <v>10</v>
      </c>
      <c r="G126" s="417">
        <v>8</v>
      </c>
    </row>
    <row r="127" spans="1:7" s="18" customFormat="1" ht="10.5" customHeight="1" x14ac:dyDescent="0.3">
      <c r="A127" s="183">
        <v>354</v>
      </c>
      <c r="B127" s="22" t="s">
        <v>402</v>
      </c>
      <c r="C127" s="284" t="s">
        <v>401</v>
      </c>
      <c r="D127" s="285"/>
      <c r="E127" s="285">
        <f>20*120/100</f>
        <v>24</v>
      </c>
      <c r="F127" s="285"/>
      <c r="G127" s="286">
        <f>30</f>
        <v>30</v>
      </c>
    </row>
    <row r="128" spans="1:7" s="18" customFormat="1" ht="10.5" customHeight="1" x14ac:dyDescent="0.3">
      <c r="A128" s="279"/>
      <c r="B128" s="22"/>
      <c r="C128" s="53" t="s">
        <v>67</v>
      </c>
      <c r="D128" s="282">
        <f>250*E127/1000</f>
        <v>6</v>
      </c>
      <c r="E128" s="282">
        <f>250*E127/1000</f>
        <v>6</v>
      </c>
      <c r="F128" s="282">
        <f>250*G127/1000</f>
        <v>7.5</v>
      </c>
      <c r="G128" s="283">
        <f>250*G127/1000</f>
        <v>7.5</v>
      </c>
    </row>
    <row r="129" spans="1:7" s="18" customFormat="1" ht="10.5" customHeight="1" x14ac:dyDescent="0.3">
      <c r="A129" s="279"/>
      <c r="B129" s="22"/>
      <c r="C129" s="53" t="s">
        <v>119</v>
      </c>
      <c r="D129" s="282">
        <f>75*E127/1000</f>
        <v>1.8</v>
      </c>
      <c r="E129" s="282">
        <f>75*E127/1000</f>
        <v>1.8</v>
      </c>
      <c r="F129" s="282">
        <f>75*G127/1000</f>
        <v>2.25</v>
      </c>
      <c r="G129" s="283">
        <f>75*G127/1000</f>
        <v>2.25</v>
      </c>
    </row>
    <row r="130" spans="1:7" s="18" customFormat="1" ht="10.5" customHeight="1" x14ac:dyDescent="0.3">
      <c r="A130" s="279"/>
      <c r="B130" s="22"/>
      <c r="C130" s="53" t="s">
        <v>69</v>
      </c>
      <c r="D130" s="282">
        <f>750*E127/1000</f>
        <v>18</v>
      </c>
      <c r="E130" s="282">
        <f>750*E127/1000</f>
        <v>18</v>
      </c>
      <c r="F130" s="282">
        <f>750*G127/1000</f>
        <v>22.5</v>
      </c>
      <c r="G130" s="283">
        <f>750*G127/1000</f>
        <v>22.5</v>
      </c>
    </row>
    <row r="131" spans="1:7" s="18" customFormat="1" ht="10.5" customHeight="1" x14ac:dyDescent="0.3">
      <c r="A131" s="279"/>
      <c r="B131" s="22"/>
      <c r="C131" s="53" t="s">
        <v>58</v>
      </c>
      <c r="D131" s="282">
        <f>8*E127/1000</f>
        <v>0.192</v>
      </c>
      <c r="E131" s="282">
        <f>8*E127/1000</f>
        <v>0.192</v>
      </c>
      <c r="F131" s="282">
        <f>8*G127/1000</f>
        <v>0.24</v>
      </c>
      <c r="G131" s="283">
        <f>8*G127/1000</f>
        <v>0.24</v>
      </c>
    </row>
    <row r="132" spans="1:7" s="18" customFormat="1" ht="10.5" customHeight="1" x14ac:dyDescent="0.3">
      <c r="A132" s="183">
        <v>375</v>
      </c>
      <c r="B132" s="22" t="s">
        <v>525</v>
      </c>
      <c r="C132" s="53" t="s">
        <v>526</v>
      </c>
      <c r="D132" s="256">
        <v>15</v>
      </c>
      <c r="E132" s="256">
        <v>15</v>
      </c>
      <c r="F132" s="256">
        <v>18</v>
      </c>
      <c r="G132" s="257">
        <v>18</v>
      </c>
    </row>
    <row r="133" spans="1:7" s="18" customFormat="1" ht="10.5" customHeight="1" x14ac:dyDescent="0.3">
      <c r="A133" s="279"/>
      <c r="B133" s="22"/>
      <c r="C133" s="22" t="s">
        <v>57</v>
      </c>
      <c r="D133" s="256">
        <f>100*150/1000</f>
        <v>15</v>
      </c>
      <c r="E133" s="256">
        <f>100*150/1000</f>
        <v>15</v>
      </c>
      <c r="F133" s="256">
        <f>100*180/1000</f>
        <v>18</v>
      </c>
      <c r="G133" s="257">
        <f>100*180/1000</f>
        <v>18</v>
      </c>
    </row>
    <row r="134" spans="1:7" s="18" customFormat="1" ht="10.5" customHeight="1" x14ac:dyDescent="0.3">
      <c r="A134" s="255"/>
      <c r="B134" s="22"/>
      <c r="C134" s="22" t="s">
        <v>56</v>
      </c>
      <c r="D134" s="256">
        <f>1015*150/1000</f>
        <v>152.25</v>
      </c>
      <c r="E134" s="256">
        <f>1015*150/1000</f>
        <v>152.25</v>
      </c>
      <c r="F134" s="256">
        <f>1015*180/1000</f>
        <v>182.7</v>
      </c>
      <c r="G134" s="257">
        <f>1015*180/1000</f>
        <v>182.7</v>
      </c>
    </row>
    <row r="135" spans="1:7" s="18" customFormat="1" ht="10.5" customHeight="1" x14ac:dyDescent="0.3">
      <c r="A135" s="255">
        <v>1</v>
      </c>
      <c r="B135" s="22" t="s">
        <v>76</v>
      </c>
      <c r="C135" s="287" t="s">
        <v>54</v>
      </c>
      <c r="D135" s="256">
        <v>20</v>
      </c>
      <c r="E135" s="256">
        <v>20</v>
      </c>
      <c r="F135" s="256">
        <v>25</v>
      </c>
      <c r="G135" s="257">
        <v>25</v>
      </c>
    </row>
    <row r="136" spans="1:7" s="18" customFormat="1" ht="10.5" customHeight="1" thickBot="1" x14ac:dyDescent="0.35">
      <c r="A136" s="96">
        <v>1</v>
      </c>
      <c r="B136" s="26" t="s">
        <v>18</v>
      </c>
      <c r="C136" s="67" t="s">
        <v>157</v>
      </c>
      <c r="D136" s="258">
        <v>17</v>
      </c>
      <c r="E136" s="258">
        <v>17</v>
      </c>
      <c r="F136" s="258">
        <v>21</v>
      </c>
      <c r="G136" s="259">
        <v>21</v>
      </c>
    </row>
    <row r="137" spans="1:7" s="18" customFormat="1" ht="10.5" customHeight="1" x14ac:dyDescent="0.3">
      <c r="A137" s="270">
        <v>320</v>
      </c>
      <c r="B137" s="44" t="s">
        <v>267</v>
      </c>
      <c r="C137" s="44" t="s">
        <v>64</v>
      </c>
      <c r="D137" s="253">
        <f>1318*100/1000</f>
        <v>131.80000000000001</v>
      </c>
      <c r="E137" s="253">
        <f>1054*100/1000</f>
        <v>105.4</v>
      </c>
      <c r="F137" s="405">
        <f>1318*130/1000</f>
        <v>171.34</v>
      </c>
      <c r="G137" s="406">
        <f>1054*130/1000</f>
        <v>137.02000000000001</v>
      </c>
    </row>
    <row r="138" spans="1:7" s="18" customFormat="1" ht="10.5" customHeight="1" x14ac:dyDescent="0.3">
      <c r="A138" s="255"/>
      <c r="B138" s="403" t="s">
        <v>527</v>
      </c>
      <c r="C138" s="22" t="s">
        <v>398</v>
      </c>
      <c r="D138" s="256">
        <f>1348*100/1000</f>
        <v>134.80000000000001</v>
      </c>
      <c r="E138" s="256">
        <f>1078*100/1000</f>
        <v>107.8</v>
      </c>
      <c r="F138" s="407">
        <f>1348*130/1000</f>
        <v>175.24</v>
      </c>
      <c r="G138" s="408">
        <f>1078*130/1000</f>
        <v>140.13999999999999</v>
      </c>
    </row>
    <row r="139" spans="1:7" s="18" customFormat="1" ht="10.5" customHeight="1" x14ac:dyDescent="0.3">
      <c r="A139" s="255"/>
      <c r="B139" s="22"/>
      <c r="C139" s="22" t="s">
        <v>399</v>
      </c>
      <c r="D139" s="256">
        <f>2073*100/1000</f>
        <v>207.3</v>
      </c>
      <c r="E139" s="256">
        <f>1078*100/1000</f>
        <v>107.8</v>
      </c>
      <c r="F139" s="407">
        <f>2073*130/1000</f>
        <v>269.49</v>
      </c>
      <c r="G139" s="408">
        <f>1078*130/1000</f>
        <v>140.13999999999999</v>
      </c>
    </row>
    <row r="140" spans="1:7" s="18" customFormat="1" ht="10.5" customHeight="1" x14ac:dyDescent="0.3">
      <c r="A140" s="255"/>
      <c r="B140" s="22"/>
      <c r="C140" s="284" t="s">
        <v>400</v>
      </c>
      <c r="D140" s="285"/>
      <c r="E140" s="285">
        <f>970*100/1000</f>
        <v>97</v>
      </c>
      <c r="F140" s="418"/>
      <c r="G140" s="419">
        <f>970*130/1000</f>
        <v>126.1</v>
      </c>
    </row>
    <row r="141" spans="1:7" s="18" customFormat="1" ht="10.5" customHeight="1" x14ac:dyDescent="0.3">
      <c r="A141" s="255"/>
      <c r="B141" s="22"/>
      <c r="C141" s="53" t="s">
        <v>154</v>
      </c>
      <c r="D141" s="280">
        <f>35*100/1000</f>
        <v>3.5</v>
      </c>
      <c r="E141" s="280">
        <f>35*100/1000</f>
        <v>3.5</v>
      </c>
      <c r="F141" s="414">
        <f>35*130/1000</f>
        <v>4.55</v>
      </c>
      <c r="G141" s="415">
        <f>35*130/1000</f>
        <v>4.55</v>
      </c>
    </row>
    <row r="142" spans="1:7" s="18" customFormat="1" ht="10.5" customHeight="1" x14ac:dyDescent="0.3">
      <c r="A142" s="183">
        <v>310</v>
      </c>
      <c r="B142" s="22" t="s">
        <v>314</v>
      </c>
      <c r="C142" s="22" t="s">
        <v>237</v>
      </c>
      <c r="D142" s="256">
        <v>112</v>
      </c>
      <c r="E142" s="256">
        <v>38</v>
      </c>
      <c r="F142" s="256">
        <v>149</v>
      </c>
      <c r="G142" s="257">
        <v>51</v>
      </c>
    </row>
    <row r="143" spans="1:7" s="18" customFormat="1" ht="10.5" customHeight="1" x14ac:dyDescent="0.3">
      <c r="A143" s="255"/>
      <c r="B143" s="22"/>
      <c r="C143" s="22" t="s">
        <v>393</v>
      </c>
      <c r="D143" s="256">
        <f>84*38/60</f>
        <v>53.2</v>
      </c>
      <c r="E143" s="256">
        <v>38</v>
      </c>
      <c r="F143" s="256">
        <f>84*51/60</f>
        <v>71.400000000000006</v>
      </c>
      <c r="G143" s="257">
        <v>51</v>
      </c>
    </row>
    <row r="144" spans="1:7" s="18" customFormat="1" ht="10.5" customHeight="1" x14ac:dyDescent="0.3">
      <c r="A144" s="255"/>
      <c r="B144" s="22" t="s">
        <v>428</v>
      </c>
      <c r="C144" s="22" t="s">
        <v>133</v>
      </c>
      <c r="D144" s="256">
        <v>10</v>
      </c>
      <c r="E144" s="256">
        <v>10</v>
      </c>
      <c r="F144" s="256">
        <v>13</v>
      </c>
      <c r="G144" s="257">
        <v>13</v>
      </c>
    </row>
    <row r="145" spans="1:7" ht="10.5" customHeight="1" x14ac:dyDescent="0.3">
      <c r="A145" s="255"/>
      <c r="B145" s="22"/>
      <c r="C145" s="22" t="s">
        <v>403</v>
      </c>
      <c r="D145" s="256">
        <v>2</v>
      </c>
      <c r="E145" s="256">
        <v>2</v>
      </c>
      <c r="F145" s="256">
        <v>3</v>
      </c>
      <c r="G145" s="257">
        <v>3</v>
      </c>
    </row>
    <row r="146" spans="1:7" ht="10.5" customHeight="1" x14ac:dyDescent="0.3">
      <c r="A146" s="255"/>
      <c r="B146" s="22"/>
      <c r="C146" s="284" t="s">
        <v>315</v>
      </c>
      <c r="D146" s="285"/>
      <c r="E146" s="285">
        <v>15</v>
      </c>
      <c r="F146" s="285"/>
      <c r="G146" s="286">
        <v>20</v>
      </c>
    </row>
    <row r="147" spans="1:7" ht="10.5" customHeight="1" x14ac:dyDescent="0.3">
      <c r="A147" s="255"/>
      <c r="B147" s="22"/>
      <c r="C147" s="278" t="s">
        <v>53</v>
      </c>
      <c r="D147" s="282">
        <f>750*E146/1000</f>
        <v>11.25</v>
      </c>
      <c r="E147" s="282">
        <f>750*E146/1000</f>
        <v>11.25</v>
      </c>
      <c r="F147" s="282">
        <f>750*G146/1000</f>
        <v>15</v>
      </c>
      <c r="G147" s="283">
        <f>750*G146/1000</f>
        <v>15</v>
      </c>
    </row>
    <row r="148" spans="1:7" ht="10.5" customHeight="1" x14ac:dyDescent="0.3">
      <c r="A148" s="255"/>
      <c r="B148" s="22"/>
      <c r="C148" s="278" t="s">
        <v>154</v>
      </c>
      <c r="D148" s="282">
        <f>130*E146/1000</f>
        <v>1.95</v>
      </c>
      <c r="E148" s="282">
        <f>130*E146/1000</f>
        <v>1.95</v>
      </c>
      <c r="F148" s="282">
        <f>130*G146/1000</f>
        <v>2.6</v>
      </c>
      <c r="G148" s="283">
        <f>130*G146/1000</f>
        <v>2.6</v>
      </c>
    </row>
    <row r="149" spans="1:7" ht="10.5" customHeight="1" x14ac:dyDescent="0.3">
      <c r="A149" s="255"/>
      <c r="B149" s="22"/>
      <c r="C149" s="278" t="s">
        <v>119</v>
      </c>
      <c r="D149" s="282">
        <f>130*E146/1000</f>
        <v>1.95</v>
      </c>
      <c r="E149" s="282">
        <f>130*E146/1000</f>
        <v>1.95</v>
      </c>
      <c r="F149" s="282">
        <f>130*G146/1000</f>
        <v>2.6</v>
      </c>
      <c r="G149" s="283">
        <f>130*G146/1000</f>
        <v>2.6</v>
      </c>
    </row>
    <row r="150" spans="1:7" ht="10.5" customHeight="1" x14ac:dyDescent="0.3">
      <c r="A150" s="255"/>
      <c r="B150" s="22"/>
      <c r="C150" s="278" t="s">
        <v>56</v>
      </c>
      <c r="D150" s="282">
        <f>150*E146/1000</f>
        <v>2.25</v>
      </c>
      <c r="E150" s="282">
        <f>150*E146/1000</f>
        <v>2.25</v>
      </c>
      <c r="F150" s="282">
        <f>150*G146/1000</f>
        <v>3</v>
      </c>
      <c r="G150" s="283">
        <f>150*G146/1000</f>
        <v>3</v>
      </c>
    </row>
    <row r="151" spans="1:7" ht="10.5" customHeight="1" x14ac:dyDescent="0.3">
      <c r="A151" s="255"/>
      <c r="B151" s="22"/>
      <c r="C151" s="278" t="s">
        <v>58</v>
      </c>
      <c r="D151" s="282">
        <f>8*E146/1000</f>
        <v>0.12</v>
      </c>
      <c r="E151" s="282">
        <f>8*E146/1000</f>
        <v>0.12</v>
      </c>
      <c r="F151" s="282">
        <f>8*G146/1000</f>
        <v>0.16</v>
      </c>
      <c r="G151" s="283">
        <f>8*G146/1000</f>
        <v>0.16</v>
      </c>
    </row>
    <row r="152" spans="1:7" ht="10.5" customHeight="1" x14ac:dyDescent="0.3">
      <c r="A152" s="255"/>
      <c r="B152" s="22"/>
      <c r="C152" s="278" t="s">
        <v>154</v>
      </c>
      <c r="D152" s="282">
        <v>5</v>
      </c>
      <c r="E152" s="282">
        <v>5</v>
      </c>
      <c r="F152" s="282">
        <v>5</v>
      </c>
      <c r="G152" s="283">
        <v>5</v>
      </c>
    </row>
    <row r="153" spans="1:7" ht="10.5" customHeight="1" x14ac:dyDescent="0.3">
      <c r="A153" s="274">
        <v>401</v>
      </c>
      <c r="B153" s="36" t="s">
        <v>178</v>
      </c>
      <c r="C153" s="36" t="s">
        <v>208</v>
      </c>
      <c r="D153" s="407">
        <v>155.4</v>
      </c>
      <c r="E153" s="407">
        <v>150</v>
      </c>
      <c r="F153" s="407">
        <v>186</v>
      </c>
      <c r="G153" s="408">
        <v>180</v>
      </c>
    </row>
    <row r="154" spans="1:7" ht="15" customHeight="1" thickBot="1" x14ac:dyDescent="0.35">
      <c r="A154" s="96">
        <v>1</v>
      </c>
      <c r="B154" s="26" t="s">
        <v>18</v>
      </c>
      <c r="C154" s="67" t="s">
        <v>157</v>
      </c>
      <c r="D154" s="258">
        <v>17</v>
      </c>
      <c r="E154" s="258">
        <v>17</v>
      </c>
      <c r="F154" s="258">
        <v>21</v>
      </c>
      <c r="G154" s="259">
        <v>21</v>
      </c>
    </row>
    <row r="155" spans="1:7" ht="24" customHeight="1" thickBot="1" x14ac:dyDescent="0.35">
      <c r="A155" s="100"/>
      <c r="B155" s="40"/>
      <c r="C155" s="288"/>
      <c r="D155" s="138"/>
      <c r="E155" s="138"/>
      <c r="F155" s="138"/>
      <c r="G155" s="186"/>
    </row>
    <row r="156" spans="1:7" ht="13" customHeight="1" thickBot="1" x14ac:dyDescent="0.35">
      <c r="A156" s="102"/>
      <c r="B156" s="594" t="s">
        <v>12</v>
      </c>
      <c r="C156" s="102"/>
      <c r="D156" s="583" t="s">
        <v>72</v>
      </c>
      <c r="E156" s="584"/>
      <c r="F156" s="585" t="s">
        <v>73</v>
      </c>
      <c r="G156" s="584"/>
    </row>
    <row r="157" spans="1:7" ht="13" customHeight="1" thickBot="1" x14ac:dyDescent="0.35">
      <c r="A157" s="166" t="s">
        <v>148</v>
      </c>
      <c r="B157" s="595"/>
      <c r="C157" s="167"/>
      <c r="D157" s="155" t="s">
        <v>96</v>
      </c>
      <c r="E157" s="156" t="s">
        <v>48</v>
      </c>
      <c r="F157" s="155" t="s">
        <v>96</v>
      </c>
      <c r="G157" s="156" t="s">
        <v>48</v>
      </c>
    </row>
    <row r="158" spans="1:7" ht="13" customHeight="1" x14ac:dyDescent="0.3">
      <c r="A158" s="270">
        <v>185</v>
      </c>
      <c r="B158" s="44" t="s">
        <v>481</v>
      </c>
      <c r="C158" s="44" t="s">
        <v>53</v>
      </c>
      <c r="D158" s="405">
        <f>840*130/1000</f>
        <v>109.2</v>
      </c>
      <c r="E158" s="405">
        <f>840*130/1000</f>
        <v>109.2</v>
      </c>
      <c r="F158" s="405">
        <f>840*150/1000</f>
        <v>126</v>
      </c>
      <c r="G158" s="406">
        <f>840*150/1000</f>
        <v>126</v>
      </c>
    </row>
    <row r="159" spans="1:7" ht="13" customHeight="1" x14ac:dyDescent="0.3">
      <c r="A159" s="255"/>
      <c r="B159" s="22"/>
      <c r="C159" s="22" t="s">
        <v>153</v>
      </c>
      <c r="D159" s="407">
        <f>D158*0.12</f>
        <v>13.103999999999999</v>
      </c>
      <c r="E159" s="407">
        <f>E158*0.12</f>
        <v>13.103999999999999</v>
      </c>
      <c r="F159" s="407">
        <f>F158*0.12</f>
        <v>15.12</v>
      </c>
      <c r="G159" s="408">
        <f>G158*0.12</f>
        <v>15.12</v>
      </c>
    </row>
    <row r="160" spans="1:7" ht="13" customHeight="1" x14ac:dyDescent="0.3">
      <c r="A160" s="255" t="s">
        <v>150</v>
      </c>
      <c r="B160" s="403" t="s">
        <v>528</v>
      </c>
      <c r="C160" s="22" t="s">
        <v>268</v>
      </c>
      <c r="D160" s="407">
        <f>880*130/1000-15.1</f>
        <v>99.300000000000011</v>
      </c>
      <c r="E160" s="407">
        <f>880*130/1000-15.1</f>
        <v>99.300000000000011</v>
      </c>
      <c r="F160" s="407">
        <f>880*150/1000-20.2</f>
        <v>111.8</v>
      </c>
      <c r="G160" s="408">
        <f>880*150/1000-21.1</f>
        <v>110.9</v>
      </c>
    </row>
    <row r="161" spans="1:7" ht="13" customHeight="1" x14ac:dyDescent="0.3">
      <c r="A161" s="255"/>
      <c r="B161" s="22"/>
      <c r="C161" s="22" t="s">
        <v>289</v>
      </c>
      <c r="D161" s="407">
        <f>200*130/1000</f>
        <v>26</v>
      </c>
      <c r="E161" s="407">
        <f>200*130/1000</f>
        <v>26</v>
      </c>
      <c r="F161" s="407">
        <f>200*150/1000</f>
        <v>30</v>
      </c>
      <c r="G161" s="408">
        <f>200*150/1000</f>
        <v>30</v>
      </c>
    </row>
    <row r="162" spans="1:7" ht="13" customHeight="1" x14ac:dyDescent="0.3">
      <c r="A162" s="255"/>
      <c r="B162" s="22"/>
      <c r="C162" s="22" t="s">
        <v>57</v>
      </c>
      <c r="D162" s="407">
        <v>5</v>
      </c>
      <c r="E162" s="407">
        <v>5</v>
      </c>
      <c r="F162" s="407">
        <v>5</v>
      </c>
      <c r="G162" s="408">
        <v>5</v>
      </c>
    </row>
    <row r="163" spans="1:7" ht="13" customHeight="1" x14ac:dyDescent="0.3">
      <c r="A163" s="255"/>
      <c r="B163" s="22"/>
      <c r="C163" s="22" t="s">
        <v>59</v>
      </c>
      <c r="D163" s="256">
        <v>5</v>
      </c>
      <c r="E163" s="256">
        <v>5</v>
      </c>
      <c r="F163" s="256">
        <v>5</v>
      </c>
      <c r="G163" s="257">
        <v>5</v>
      </c>
    </row>
    <row r="164" spans="1:7" ht="13" customHeight="1" x14ac:dyDescent="0.3">
      <c r="A164" s="183">
        <v>1</v>
      </c>
      <c r="B164" s="22" t="s">
        <v>473</v>
      </c>
      <c r="C164" s="22" t="s">
        <v>474</v>
      </c>
      <c r="D164" s="256">
        <v>24</v>
      </c>
      <c r="E164" s="256">
        <v>24</v>
      </c>
      <c r="F164" s="256">
        <v>30</v>
      </c>
      <c r="G164" s="257">
        <v>30</v>
      </c>
    </row>
    <row r="165" spans="1:7" ht="13" customHeight="1" x14ac:dyDescent="0.3">
      <c r="A165" s="183">
        <v>7</v>
      </c>
      <c r="B165" s="22" t="s">
        <v>563</v>
      </c>
      <c r="C165" s="22" t="s">
        <v>0</v>
      </c>
      <c r="D165" s="256">
        <f>10.6/2</f>
        <v>5.3</v>
      </c>
      <c r="E165" s="256">
        <f>10/2</f>
        <v>5</v>
      </c>
      <c r="F165" s="256">
        <v>5.3</v>
      </c>
      <c r="G165" s="257">
        <v>5</v>
      </c>
    </row>
    <row r="166" spans="1:7" ht="13" customHeight="1" x14ac:dyDescent="0.3">
      <c r="A166" s="183">
        <v>397</v>
      </c>
      <c r="B166" s="22" t="s">
        <v>55</v>
      </c>
      <c r="C166" s="22" t="s">
        <v>290</v>
      </c>
      <c r="D166" s="256">
        <v>2</v>
      </c>
      <c r="E166" s="256">
        <v>2</v>
      </c>
      <c r="F166" s="256">
        <v>2</v>
      </c>
      <c r="G166" s="257">
        <v>2</v>
      </c>
    </row>
    <row r="167" spans="1:7" ht="13" customHeight="1" x14ac:dyDescent="0.3">
      <c r="A167" s="255"/>
      <c r="B167" s="22" t="s">
        <v>61</v>
      </c>
      <c r="C167" s="22" t="s">
        <v>57</v>
      </c>
      <c r="D167" s="256">
        <v>8</v>
      </c>
      <c r="E167" s="256">
        <v>8</v>
      </c>
      <c r="F167" s="256">
        <v>10</v>
      </c>
      <c r="G167" s="257">
        <v>10</v>
      </c>
    </row>
    <row r="168" spans="1:7" ht="13" customHeight="1" x14ac:dyDescent="0.3">
      <c r="A168" s="255"/>
      <c r="B168" s="22"/>
      <c r="C168" s="22" t="s">
        <v>125</v>
      </c>
      <c r="D168" s="256">
        <v>92</v>
      </c>
      <c r="E168" s="256">
        <v>92</v>
      </c>
      <c r="F168" s="256">
        <v>110</v>
      </c>
      <c r="G168" s="257">
        <v>110</v>
      </c>
    </row>
    <row r="169" spans="1:7" ht="13" customHeight="1" x14ac:dyDescent="0.3">
      <c r="A169" s="255"/>
      <c r="B169" s="22"/>
      <c r="C169" s="22" t="s">
        <v>153</v>
      </c>
      <c r="D169" s="256">
        <f>D168*0.12</f>
        <v>11.04</v>
      </c>
      <c r="E169" s="256">
        <f>E168*0.12</f>
        <v>11.04</v>
      </c>
      <c r="F169" s="256">
        <f>F168*0.12</f>
        <v>13.2</v>
      </c>
      <c r="G169" s="257">
        <f>G168*0.12</f>
        <v>13.2</v>
      </c>
    </row>
    <row r="170" spans="1:7" ht="13" customHeight="1" thickBot="1" x14ac:dyDescent="0.35">
      <c r="A170" s="96"/>
      <c r="B170" s="26"/>
      <c r="C170" s="26" t="s">
        <v>56</v>
      </c>
      <c r="D170" s="258">
        <v>65</v>
      </c>
      <c r="E170" s="258">
        <v>65</v>
      </c>
      <c r="F170" s="258">
        <v>80</v>
      </c>
      <c r="G170" s="259">
        <v>80</v>
      </c>
    </row>
    <row r="171" spans="1:7" ht="13" customHeight="1" thickBot="1" x14ac:dyDescent="0.35">
      <c r="A171" s="102"/>
      <c r="B171" s="102" t="s">
        <v>89</v>
      </c>
      <c r="C171" s="102" t="s">
        <v>49</v>
      </c>
      <c r="D171" s="291">
        <v>200</v>
      </c>
      <c r="E171" s="292">
        <v>200</v>
      </c>
      <c r="F171" s="420">
        <v>180</v>
      </c>
      <c r="G171" s="421">
        <v>180</v>
      </c>
    </row>
    <row r="172" spans="1:7" ht="22.9" customHeight="1" x14ac:dyDescent="0.3">
      <c r="A172" s="289">
        <v>15</v>
      </c>
      <c r="B172" s="422" t="s">
        <v>475</v>
      </c>
      <c r="C172" s="44" t="s">
        <v>476</v>
      </c>
      <c r="D172" s="405">
        <f>565*30/1000</f>
        <v>16.95</v>
      </c>
      <c r="E172" s="405">
        <f>480*30/1000</f>
        <v>14.4</v>
      </c>
      <c r="F172" s="405">
        <f>565*50/1000</f>
        <v>28.25</v>
      </c>
      <c r="G172" s="406">
        <f>480*50/1000</f>
        <v>24</v>
      </c>
    </row>
    <row r="173" spans="1:7" ht="13" customHeight="1" x14ac:dyDescent="0.3">
      <c r="A173" s="183"/>
      <c r="B173" s="22" t="s">
        <v>518</v>
      </c>
      <c r="C173" s="22" t="s">
        <v>397</v>
      </c>
      <c r="D173" s="407">
        <f>438*30/1000</f>
        <v>13.14</v>
      </c>
      <c r="E173" s="407">
        <f>350*30/1000</f>
        <v>10.5</v>
      </c>
      <c r="F173" s="407">
        <f>438*50/1000</f>
        <v>21.9</v>
      </c>
      <c r="G173" s="408">
        <f>350*50/1000</f>
        <v>17.5</v>
      </c>
    </row>
    <row r="174" spans="1:7" ht="13" customHeight="1" x14ac:dyDescent="0.3">
      <c r="A174" s="183"/>
      <c r="B174" s="22"/>
      <c r="C174" s="22" t="s">
        <v>236</v>
      </c>
      <c r="D174" s="407">
        <f>150*30/1000</f>
        <v>4.5</v>
      </c>
      <c r="E174" s="407">
        <f>120*30/1000</f>
        <v>3.6</v>
      </c>
      <c r="F174" s="407">
        <f>150*50/1000</f>
        <v>7.5</v>
      </c>
      <c r="G174" s="408">
        <f>120*50/1000</f>
        <v>6</v>
      </c>
    </row>
    <row r="175" spans="1:7" ht="13" customHeight="1" x14ac:dyDescent="0.3">
      <c r="A175" s="183"/>
      <c r="B175" s="22"/>
      <c r="C175" s="22" t="s">
        <v>408</v>
      </c>
      <c r="D175" s="407">
        <f>150*30/1000</f>
        <v>4.5</v>
      </c>
      <c r="E175" s="407">
        <f>120*30/1000</f>
        <v>3.6</v>
      </c>
      <c r="F175" s="407">
        <f>150*50/1000</f>
        <v>7.5</v>
      </c>
      <c r="G175" s="408">
        <f>120*50/1000</f>
        <v>6</v>
      </c>
    </row>
    <row r="176" spans="1:7" ht="13" customHeight="1" x14ac:dyDescent="0.3">
      <c r="A176" s="183"/>
      <c r="B176" s="22"/>
      <c r="C176" s="22" t="s">
        <v>113</v>
      </c>
      <c r="D176" s="407">
        <f>60*30/1000</f>
        <v>1.8</v>
      </c>
      <c r="E176" s="407">
        <f>60*30/1000</f>
        <v>1.8</v>
      </c>
      <c r="F176" s="407">
        <f>60*50/1000</f>
        <v>3</v>
      </c>
      <c r="G176" s="408">
        <f>60*50/1000</f>
        <v>3</v>
      </c>
    </row>
    <row r="177" spans="1:7" ht="13" customHeight="1" x14ac:dyDescent="0.3">
      <c r="A177" s="183">
        <v>81</v>
      </c>
      <c r="B177" s="22" t="s">
        <v>253</v>
      </c>
      <c r="C177" s="22" t="s">
        <v>185</v>
      </c>
      <c r="D177" s="407">
        <f>E177*1.33</f>
        <v>39.900000000000006</v>
      </c>
      <c r="E177" s="407">
        <f>200*150/1000</f>
        <v>30</v>
      </c>
      <c r="F177" s="407">
        <f>G177*1.33</f>
        <v>47.88</v>
      </c>
      <c r="G177" s="408">
        <f>200*180/1000</f>
        <v>36</v>
      </c>
    </row>
    <row r="178" spans="1:7" ht="13" customHeight="1" x14ac:dyDescent="0.3">
      <c r="A178" s="255"/>
      <c r="B178" s="22"/>
      <c r="C178" s="22" t="s">
        <v>186</v>
      </c>
      <c r="D178" s="407">
        <f>E178*1.43</f>
        <v>42.9</v>
      </c>
      <c r="E178" s="407">
        <f>200*150/1000</f>
        <v>30</v>
      </c>
      <c r="F178" s="407">
        <f>G178*1.43</f>
        <v>51.48</v>
      </c>
      <c r="G178" s="408">
        <f>200*180/1000</f>
        <v>36</v>
      </c>
    </row>
    <row r="179" spans="1:7" ht="13" customHeight="1" x14ac:dyDescent="0.3">
      <c r="A179" s="255"/>
      <c r="B179" s="403" t="s">
        <v>529</v>
      </c>
      <c r="C179" s="22" t="s">
        <v>187</v>
      </c>
      <c r="D179" s="407">
        <f>E179*1.54</f>
        <v>46.2</v>
      </c>
      <c r="E179" s="407">
        <f>200*150/1000</f>
        <v>30</v>
      </c>
      <c r="F179" s="407">
        <f>G179*1.54</f>
        <v>55.44</v>
      </c>
      <c r="G179" s="408">
        <f>200*180/1000</f>
        <v>36</v>
      </c>
    </row>
    <row r="180" spans="1:7" ht="13" customHeight="1" x14ac:dyDescent="0.3">
      <c r="A180" s="255"/>
      <c r="B180" s="22"/>
      <c r="C180" s="22" t="s">
        <v>188</v>
      </c>
      <c r="D180" s="407">
        <f>E180*1.67</f>
        <v>50.099999999999994</v>
      </c>
      <c r="E180" s="407">
        <f>200*150/1000</f>
        <v>30</v>
      </c>
      <c r="F180" s="407">
        <f>G180*1.67</f>
        <v>60.12</v>
      </c>
      <c r="G180" s="408">
        <f>200*180/1000</f>
        <v>36</v>
      </c>
    </row>
    <row r="181" spans="1:7" ht="13" customHeight="1" x14ac:dyDescent="0.3">
      <c r="A181" s="255"/>
      <c r="B181" s="22"/>
      <c r="C181" s="22" t="s">
        <v>291</v>
      </c>
      <c r="D181" s="407">
        <f>81*150/1000</f>
        <v>12.15</v>
      </c>
      <c r="E181" s="407">
        <f>80*150/1000</f>
        <v>12</v>
      </c>
      <c r="F181" s="407">
        <f>81*180/1000</f>
        <v>14.58</v>
      </c>
      <c r="G181" s="408">
        <f>80*180/1000</f>
        <v>14.4</v>
      </c>
    </row>
    <row r="182" spans="1:7" ht="13" customHeight="1" x14ac:dyDescent="0.3">
      <c r="A182" s="255"/>
      <c r="B182" s="22"/>
      <c r="C182" s="22" t="s">
        <v>62</v>
      </c>
      <c r="D182" s="407">
        <f>48*150/1000</f>
        <v>7.2</v>
      </c>
      <c r="E182" s="407">
        <f>40*150/1000</f>
        <v>6</v>
      </c>
      <c r="F182" s="407">
        <f>48*180/1000</f>
        <v>8.64</v>
      </c>
      <c r="G182" s="408">
        <f>40*180/1000</f>
        <v>7.2</v>
      </c>
    </row>
    <row r="183" spans="1:7" ht="13" customHeight="1" x14ac:dyDescent="0.3">
      <c r="A183" s="255"/>
      <c r="B183" s="22"/>
      <c r="C183" s="22" t="s">
        <v>113</v>
      </c>
      <c r="D183" s="407">
        <f>20*150/1000</f>
        <v>3</v>
      </c>
      <c r="E183" s="407">
        <f>20*150/1000</f>
        <v>3</v>
      </c>
      <c r="F183" s="407">
        <f>20*180/1000</f>
        <v>3.6</v>
      </c>
      <c r="G183" s="408">
        <f>20*180/1000</f>
        <v>3.6</v>
      </c>
    </row>
    <row r="184" spans="1:7" ht="13" customHeight="1" x14ac:dyDescent="0.3">
      <c r="A184" s="255"/>
      <c r="B184" s="22"/>
      <c r="C184" s="53" t="s">
        <v>64</v>
      </c>
      <c r="D184" s="407">
        <f>64*150/1000</f>
        <v>9.6</v>
      </c>
      <c r="E184" s="407">
        <f>50*150/1000</f>
        <v>7.5</v>
      </c>
      <c r="F184" s="407">
        <f>64*180/1000</f>
        <v>11.52</v>
      </c>
      <c r="G184" s="408">
        <f>50*180/1000</f>
        <v>9</v>
      </c>
    </row>
    <row r="185" spans="1:7" ht="13" customHeight="1" x14ac:dyDescent="0.3">
      <c r="A185" s="255"/>
      <c r="B185" s="22"/>
      <c r="C185" s="278"/>
      <c r="D185" s="256"/>
      <c r="E185" s="256"/>
      <c r="F185" s="256"/>
      <c r="G185" s="257"/>
    </row>
    <row r="186" spans="1:7" ht="13" customHeight="1" x14ac:dyDescent="0.3">
      <c r="A186" s="183">
        <v>278</v>
      </c>
      <c r="B186" s="403" t="s">
        <v>530</v>
      </c>
      <c r="C186" s="403" t="s">
        <v>155</v>
      </c>
      <c r="D186" s="407">
        <f>E186*1.095</f>
        <v>87.6</v>
      </c>
      <c r="E186" s="407">
        <f>96*50/60</f>
        <v>80</v>
      </c>
      <c r="F186" s="407">
        <f>G186*1.095</f>
        <v>105.12</v>
      </c>
      <c r="G186" s="408">
        <f>96*60/60</f>
        <v>96</v>
      </c>
    </row>
    <row r="187" spans="1:7" ht="13" customHeight="1" x14ac:dyDescent="0.3">
      <c r="A187" s="183"/>
      <c r="B187" s="403"/>
      <c r="C187" s="413"/>
      <c r="D187" s="414"/>
      <c r="E187" s="414"/>
      <c r="F187" s="414"/>
      <c r="G187" s="415"/>
    </row>
    <row r="188" spans="1:7" ht="13" customHeight="1" x14ac:dyDescent="0.3">
      <c r="A188" s="183"/>
      <c r="B188" s="403"/>
      <c r="C188" s="413"/>
      <c r="D188" s="414"/>
      <c r="E188" s="414"/>
      <c r="F188" s="414"/>
      <c r="G188" s="415"/>
    </row>
    <row r="189" spans="1:7" ht="13" customHeight="1" x14ac:dyDescent="0.3">
      <c r="A189" s="255">
        <v>354</v>
      </c>
      <c r="B189" s="403" t="s">
        <v>402</v>
      </c>
      <c r="C189" s="413" t="s">
        <v>67</v>
      </c>
      <c r="D189" s="407">
        <v>12.5</v>
      </c>
      <c r="E189" s="407">
        <v>12.5</v>
      </c>
      <c r="F189" s="407">
        <v>12.5</v>
      </c>
      <c r="G189" s="408">
        <v>12.5</v>
      </c>
    </row>
    <row r="190" spans="1:7" ht="13" customHeight="1" x14ac:dyDescent="0.3">
      <c r="A190" s="255"/>
      <c r="B190" s="403" t="s">
        <v>348</v>
      </c>
      <c r="C190" s="403" t="s">
        <v>119</v>
      </c>
      <c r="D190" s="407">
        <v>3.8</v>
      </c>
      <c r="E190" s="407">
        <v>3.8</v>
      </c>
      <c r="F190" s="407">
        <v>3.8</v>
      </c>
      <c r="G190" s="408">
        <v>3.8</v>
      </c>
    </row>
    <row r="191" spans="1:7" ht="13" customHeight="1" x14ac:dyDescent="0.3">
      <c r="A191" s="293"/>
      <c r="B191" s="423"/>
      <c r="C191" s="403" t="s">
        <v>69</v>
      </c>
      <c r="D191" s="407">
        <v>37.5</v>
      </c>
      <c r="E191" s="407">
        <v>37.5</v>
      </c>
      <c r="F191" s="407">
        <v>37.5</v>
      </c>
      <c r="G191" s="408">
        <v>37.5</v>
      </c>
    </row>
    <row r="192" spans="1:7" ht="13" customHeight="1" x14ac:dyDescent="0.3">
      <c r="A192" s="293"/>
      <c r="B192" s="423"/>
      <c r="C192" s="403" t="s">
        <v>58</v>
      </c>
      <c r="D192" s="407">
        <v>0.4</v>
      </c>
      <c r="E192" s="407">
        <v>0.4</v>
      </c>
      <c r="F192" s="407">
        <v>0.4</v>
      </c>
      <c r="G192" s="408">
        <v>0.4</v>
      </c>
    </row>
    <row r="193" spans="1:7" ht="13" customHeight="1" x14ac:dyDescent="0.3">
      <c r="A193" s="183">
        <v>317</v>
      </c>
      <c r="B193" s="22" t="s">
        <v>258</v>
      </c>
      <c r="C193" s="22" t="s">
        <v>156</v>
      </c>
      <c r="D193" s="407">
        <f>350*110/1000</f>
        <v>38.5</v>
      </c>
      <c r="E193" s="407">
        <f>350*110/1000</f>
        <v>38.5</v>
      </c>
      <c r="F193" s="407">
        <f>340*130/1000</f>
        <v>44.2</v>
      </c>
      <c r="G193" s="408">
        <f>340*130/1000</f>
        <v>44.2</v>
      </c>
    </row>
    <row r="194" spans="1:7" ht="13" customHeight="1" x14ac:dyDescent="0.3">
      <c r="A194" s="183"/>
      <c r="B194" s="403" t="s">
        <v>524</v>
      </c>
      <c r="C194" s="22" t="s">
        <v>154</v>
      </c>
      <c r="D194" s="407">
        <f>35*110/1000</f>
        <v>3.85</v>
      </c>
      <c r="E194" s="407">
        <f>35*110/1000</f>
        <v>3.85</v>
      </c>
      <c r="F194" s="407">
        <f>35*130/1000</f>
        <v>4.55</v>
      </c>
      <c r="G194" s="408">
        <v>4.5999999999999996</v>
      </c>
    </row>
    <row r="195" spans="1:7" ht="13" customHeight="1" x14ac:dyDescent="0.3">
      <c r="A195" s="183">
        <v>376</v>
      </c>
      <c r="B195" s="22" t="s">
        <v>266</v>
      </c>
      <c r="C195" s="53" t="s">
        <v>342</v>
      </c>
      <c r="D195" s="256">
        <v>10</v>
      </c>
      <c r="E195" s="256">
        <v>29.5</v>
      </c>
      <c r="F195" s="256">
        <v>15</v>
      </c>
      <c r="G195" s="257">
        <v>38.4</v>
      </c>
    </row>
    <row r="196" spans="1:7" ht="13" customHeight="1" x14ac:dyDescent="0.3">
      <c r="A196" s="279"/>
      <c r="B196" s="22"/>
      <c r="C196" s="22" t="s">
        <v>57</v>
      </c>
      <c r="D196" s="256">
        <f>55*150/1000</f>
        <v>8.25</v>
      </c>
      <c r="E196" s="256">
        <f>55*150/1000</f>
        <v>8.25</v>
      </c>
      <c r="F196" s="256">
        <f>55*180/1000</f>
        <v>9.9</v>
      </c>
      <c r="G196" s="257">
        <f>55*180/1000</f>
        <v>9.9</v>
      </c>
    </row>
    <row r="197" spans="1:7" ht="13" customHeight="1" x14ac:dyDescent="0.3">
      <c r="A197" s="255"/>
      <c r="B197" s="22"/>
      <c r="C197" s="22" t="s">
        <v>56</v>
      </c>
      <c r="D197" s="256">
        <f>1015*150/1000</f>
        <v>152.25</v>
      </c>
      <c r="E197" s="256">
        <f>1015*150/1000</f>
        <v>152.25</v>
      </c>
      <c r="F197" s="256">
        <f>1015*180/1000</f>
        <v>182.7</v>
      </c>
      <c r="G197" s="257">
        <f>1015*180/1000</f>
        <v>182.7</v>
      </c>
    </row>
    <row r="198" spans="1:7" ht="13" customHeight="1" x14ac:dyDescent="0.3">
      <c r="A198" s="255"/>
      <c r="B198" s="22" t="s">
        <v>76</v>
      </c>
      <c r="C198" s="22" t="s">
        <v>76</v>
      </c>
      <c r="D198" s="256">
        <v>20</v>
      </c>
      <c r="E198" s="256">
        <v>20</v>
      </c>
      <c r="F198" s="256">
        <v>25</v>
      </c>
      <c r="G198" s="257">
        <v>25</v>
      </c>
    </row>
    <row r="199" spans="1:7" ht="13" customHeight="1" thickBot="1" x14ac:dyDescent="0.35">
      <c r="A199" s="274"/>
      <c r="B199" s="36" t="s">
        <v>18</v>
      </c>
      <c r="C199" s="36" t="s">
        <v>18</v>
      </c>
      <c r="D199" s="302">
        <v>17</v>
      </c>
      <c r="E199" s="302">
        <v>17</v>
      </c>
      <c r="F199" s="302">
        <v>21</v>
      </c>
      <c r="G199" s="303">
        <v>21</v>
      </c>
    </row>
    <row r="200" spans="1:7" ht="13" customHeight="1" x14ac:dyDescent="0.3">
      <c r="A200" s="95">
        <v>8</v>
      </c>
      <c r="B200" s="44"/>
      <c r="C200" s="398"/>
      <c r="D200" s="44"/>
      <c r="E200" s="253"/>
      <c r="F200" s="399"/>
      <c r="G200" s="254"/>
    </row>
    <row r="201" spans="1:7" ht="13" customHeight="1" x14ac:dyDescent="0.3">
      <c r="A201" s="183">
        <v>291</v>
      </c>
      <c r="B201" s="22" t="s">
        <v>228</v>
      </c>
      <c r="C201" s="22" t="s">
        <v>185</v>
      </c>
      <c r="D201" s="256">
        <f>E201*1.33</f>
        <v>148.96</v>
      </c>
      <c r="E201" s="256">
        <v>112</v>
      </c>
      <c r="F201" s="256">
        <f>G201*1.33</f>
        <v>196.84</v>
      </c>
      <c r="G201" s="257">
        <v>148</v>
      </c>
    </row>
    <row r="202" spans="1:7" ht="13" customHeight="1" x14ac:dyDescent="0.3">
      <c r="A202" s="255"/>
      <c r="B202" s="22"/>
      <c r="C202" s="22" t="s">
        <v>186</v>
      </c>
      <c r="D202" s="256">
        <f>E202*1.43</f>
        <v>160.16</v>
      </c>
      <c r="E202" s="256">
        <v>112</v>
      </c>
      <c r="F202" s="256">
        <f>G202*1.43</f>
        <v>211.64</v>
      </c>
      <c r="G202" s="257">
        <v>148</v>
      </c>
    </row>
    <row r="203" spans="1:7" ht="13" customHeight="1" x14ac:dyDescent="0.3">
      <c r="A203" s="255" t="s">
        <v>150</v>
      </c>
      <c r="B203" s="22" t="s">
        <v>287</v>
      </c>
      <c r="C203" s="22" t="s">
        <v>187</v>
      </c>
      <c r="D203" s="256">
        <f>E203*1.54</f>
        <v>172.48000000000002</v>
      </c>
      <c r="E203" s="256">
        <v>112</v>
      </c>
      <c r="F203" s="256">
        <f>G203*1.54</f>
        <v>227.92000000000002</v>
      </c>
      <c r="G203" s="257">
        <v>148</v>
      </c>
    </row>
    <row r="204" spans="1:7" ht="13" customHeight="1" x14ac:dyDescent="0.3">
      <c r="A204" s="255"/>
      <c r="B204" s="22"/>
      <c r="C204" s="22" t="s">
        <v>188</v>
      </c>
      <c r="D204" s="256">
        <f>E204*1.67</f>
        <v>187.04</v>
      </c>
      <c r="E204" s="256">
        <v>112</v>
      </c>
      <c r="F204" s="256">
        <f>G204*1.67</f>
        <v>247.16</v>
      </c>
      <c r="G204" s="257">
        <v>148</v>
      </c>
    </row>
    <row r="205" spans="1:7" ht="13" customHeight="1" x14ac:dyDescent="0.3">
      <c r="A205" s="255"/>
      <c r="B205" s="22"/>
      <c r="C205" s="53" t="s">
        <v>233</v>
      </c>
      <c r="D205" s="256">
        <f>E205*1.25</f>
        <v>140</v>
      </c>
      <c r="E205" s="256">
        <v>112</v>
      </c>
      <c r="F205" s="256">
        <f>G205*1.25</f>
        <v>185</v>
      </c>
      <c r="G205" s="257">
        <v>148</v>
      </c>
    </row>
    <row r="206" spans="1:7" ht="13" customHeight="1" x14ac:dyDescent="0.3">
      <c r="A206" s="255"/>
      <c r="B206" s="264" t="s">
        <v>288</v>
      </c>
      <c r="C206" s="22" t="s">
        <v>77</v>
      </c>
      <c r="D206" s="256">
        <f>E206*1.15</f>
        <v>46</v>
      </c>
      <c r="E206" s="256">
        <v>40</v>
      </c>
      <c r="F206" s="256">
        <f>G206*1.15</f>
        <v>60.949999999999996</v>
      </c>
      <c r="G206" s="257">
        <v>53</v>
      </c>
    </row>
    <row r="207" spans="1:7" ht="13" customHeight="1" x14ac:dyDescent="0.3">
      <c r="A207" s="255"/>
      <c r="B207" s="22"/>
      <c r="C207" s="22" t="s">
        <v>62</v>
      </c>
      <c r="D207" s="256">
        <v>10</v>
      </c>
      <c r="E207" s="256">
        <v>8</v>
      </c>
      <c r="F207" s="256">
        <v>13</v>
      </c>
      <c r="G207" s="257">
        <v>11</v>
      </c>
    </row>
    <row r="208" spans="1:7" ht="13" customHeight="1" x14ac:dyDescent="0.3">
      <c r="A208" s="255"/>
      <c r="B208" s="22"/>
      <c r="C208" s="22" t="s">
        <v>113</v>
      </c>
      <c r="D208" s="256">
        <v>1</v>
      </c>
      <c r="E208" s="256">
        <v>1</v>
      </c>
      <c r="F208" s="256">
        <v>2</v>
      </c>
      <c r="G208" s="257">
        <v>2</v>
      </c>
    </row>
    <row r="209" spans="1:7" ht="13" customHeight="1" x14ac:dyDescent="0.3">
      <c r="A209" s="255"/>
      <c r="B209" s="22"/>
      <c r="C209" s="22" t="s">
        <v>154</v>
      </c>
      <c r="D209" s="256">
        <v>3</v>
      </c>
      <c r="E209" s="256">
        <v>3</v>
      </c>
      <c r="F209" s="256">
        <v>4</v>
      </c>
      <c r="G209" s="257">
        <v>4</v>
      </c>
    </row>
    <row r="210" spans="1:7" ht="13" customHeight="1" x14ac:dyDescent="0.3">
      <c r="A210" s="255"/>
      <c r="B210" s="22"/>
      <c r="C210" s="22" t="s">
        <v>100</v>
      </c>
      <c r="D210" s="256">
        <f>E210*1.56</f>
        <v>3.12</v>
      </c>
      <c r="E210" s="256">
        <v>2</v>
      </c>
      <c r="F210" s="256">
        <f>G210*1.56</f>
        <v>4.68</v>
      </c>
      <c r="G210" s="257">
        <v>3</v>
      </c>
    </row>
    <row r="211" spans="1:7" ht="13" customHeight="1" x14ac:dyDescent="0.3">
      <c r="A211" s="255"/>
      <c r="B211" s="22"/>
      <c r="C211" s="22" t="s">
        <v>282</v>
      </c>
      <c r="D211" s="256">
        <v>5</v>
      </c>
      <c r="E211" s="256">
        <v>5</v>
      </c>
      <c r="F211" s="256">
        <v>5</v>
      </c>
      <c r="G211" s="257">
        <v>5</v>
      </c>
    </row>
    <row r="212" spans="1:7" ht="13" customHeight="1" x14ac:dyDescent="0.3">
      <c r="A212" s="255">
        <v>392</v>
      </c>
      <c r="B212" s="22" t="s">
        <v>556</v>
      </c>
      <c r="C212" s="22" t="s">
        <v>557</v>
      </c>
      <c r="D212" s="256">
        <v>0.2</v>
      </c>
      <c r="E212" s="256">
        <v>0.2</v>
      </c>
      <c r="F212" s="256">
        <v>0.3</v>
      </c>
      <c r="G212" s="257">
        <v>0.3</v>
      </c>
    </row>
    <row r="213" spans="1:7" ht="13" customHeight="1" x14ac:dyDescent="0.3">
      <c r="A213" s="255"/>
      <c r="B213" s="22"/>
      <c r="C213" s="22"/>
      <c r="D213" s="256"/>
      <c r="E213" s="256"/>
      <c r="F213" s="256"/>
      <c r="G213" s="257"/>
    </row>
    <row r="214" spans="1:7" ht="12.65" customHeight="1" x14ac:dyDescent="0.3">
      <c r="A214" s="255"/>
      <c r="B214" s="22" t="s">
        <v>308</v>
      </c>
      <c r="C214" s="22" t="s">
        <v>337</v>
      </c>
      <c r="D214" s="407">
        <v>20</v>
      </c>
      <c r="E214" s="407">
        <v>20</v>
      </c>
      <c r="F214" s="407">
        <v>40</v>
      </c>
      <c r="G214" s="408">
        <v>40</v>
      </c>
    </row>
    <row r="215" spans="1:7" ht="96" customHeight="1" thickBot="1" x14ac:dyDescent="0.35">
      <c r="A215" s="96"/>
      <c r="B215" s="26" t="s">
        <v>18</v>
      </c>
      <c r="C215" s="26" t="s">
        <v>18</v>
      </c>
      <c r="D215" s="258">
        <v>17</v>
      </c>
      <c r="E215" s="258">
        <v>17</v>
      </c>
      <c r="F215" s="258">
        <v>21</v>
      </c>
      <c r="G215" s="259">
        <v>21</v>
      </c>
    </row>
    <row r="216" spans="1:7" ht="17.149999999999999" customHeight="1" thickBot="1" x14ac:dyDescent="0.35">
      <c r="A216" s="184"/>
      <c r="B216" s="586" t="s">
        <v>13</v>
      </c>
      <c r="C216" s="40"/>
      <c r="D216" s="587"/>
      <c r="E216" s="588"/>
      <c r="F216" s="589" t="s">
        <v>73</v>
      </c>
      <c r="G216" s="588"/>
    </row>
    <row r="217" spans="1:7" ht="17.149999999999999" customHeight="1" thickBot="1" x14ac:dyDescent="0.35">
      <c r="A217" s="173" t="s">
        <v>148</v>
      </c>
      <c r="B217" s="586"/>
      <c r="C217" s="174"/>
      <c r="D217" s="175" t="s">
        <v>96</v>
      </c>
      <c r="E217" s="176" t="s">
        <v>48</v>
      </c>
      <c r="F217" s="175" t="s">
        <v>96</v>
      </c>
      <c r="G217" s="176" t="s">
        <v>48</v>
      </c>
    </row>
    <row r="218" spans="1:7" ht="17.149999999999999" customHeight="1" x14ac:dyDescent="0.3">
      <c r="A218" s="270">
        <v>216</v>
      </c>
      <c r="B218" s="44" t="s">
        <v>110</v>
      </c>
      <c r="C218" s="44" t="s">
        <v>133</v>
      </c>
      <c r="D218" s="405">
        <f>56*130/80</f>
        <v>91</v>
      </c>
      <c r="E218" s="405">
        <f>56*130/80</f>
        <v>91</v>
      </c>
      <c r="F218" s="253">
        <f>56*150/80</f>
        <v>105</v>
      </c>
      <c r="G218" s="253">
        <f>56*150/80</f>
        <v>105</v>
      </c>
    </row>
    <row r="219" spans="1:7" ht="17.149999999999999" customHeight="1" x14ac:dyDescent="0.3">
      <c r="A219" s="255"/>
      <c r="B219" s="403" t="s">
        <v>531</v>
      </c>
      <c r="C219" s="22" t="s">
        <v>53</v>
      </c>
      <c r="D219" s="407">
        <f>21*130/80</f>
        <v>34.125</v>
      </c>
      <c r="E219" s="407">
        <f>21*130/80</f>
        <v>34.125</v>
      </c>
      <c r="F219" s="256">
        <f>21*150/80</f>
        <v>39.375</v>
      </c>
      <c r="G219" s="256">
        <f>21*150/80</f>
        <v>39.375</v>
      </c>
    </row>
    <row r="220" spans="1:7" ht="17.149999999999999" customHeight="1" x14ac:dyDescent="0.3">
      <c r="A220" s="255"/>
      <c r="B220" s="264"/>
      <c r="C220" s="22" t="s">
        <v>59</v>
      </c>
      <c r="D220" s="407">
        <f>4*130/80</f>
        <v>6.5</v>
      </c>
      <c r="E220" s="407">
        <f>4*130/80</f>
        <v>6.5</v>
      </c>
      <c r="F220" s="256">
        <f>4*150/80</f>
        <v>7.5</v>
      </c>
      <c r="G220" s="256">
        <f>4*150/80</f>
        <v>7.5</v>
      </c>
    </row>
    <row r="221" spans="1:7" ht="17.149999999999999" customHeight="1" x14ac:dyDescent="0.3">
      <c r="A221" s="255"/>
      <c r="B221" s="22"/>
      <c r="C221" s="22" t="s">
        <v>0</v>
      </c>
      <c r="D221" s="407">
        <v>12.9</v>
      </c>
      <c r="E221" s="407">
        <v>12.9</v>
      </c>
      <c r="F221" s="256">
        <v>15.6</v>
      </c>
      <c r="G221" s="256">
        <v>15.6</v>
      </c>
    </row>
    <row r="222" spans="1:7" ht="17.149999999999999" customHeight="1" x14ac:dyDescent="0.3">
      <c r="A222" s="255"/>
      <c r="B222" s="22"/>
      <c r="C222" s="22" t="s">
        <v>282</v>
      </c>
      <c r="D222" s="407">
        <v>5</v>
      </c>
      <c r="E222" s="407">
        <v>5</v>
      </c>
      <c r="F222" s="256">
        <v>5</v>
      </c>
      <c r="G222" s="257">
        <v>5</v>
      </c>
    </row>
    <row r="223" spans="1:7" ht="17.149999999999999" customHeight="1" x14ac:dyDescent="0.3">
      <c r="A223" s="255">
        <v>1</v>
      </c>
      <c r="B223" s="22" t="s">
        <v>473</v>
      </c>
      <c r="C223" s="22" t="s">
        <v>474</v>
      </c>
      <c r="D223" s="256">
        <v>24</v>
      </c>
      <c r="E223" s="256">
        <v>24</v>
      </c>
      <c r="F223" s="256">
        <v>30</v>
      </c>
      <c r="G223" s="257">
        <v>30</v>
      </c>
    </row>
    <row r="224" spans="1:7" ht="17.149999999999999" customHeight="1" x14ac:dyDescent="0.3">
      <c r="A224" s="255">
        <v>6</v>
      </c>
      <c r="B224" s="22" t="s">
        <v>532</v>
      </c>
      <c r="C224" s="22" t="s">
        <v>154</v>
      </c>
      <c r="D224" s="407">
        <v>5</v>
      </c>
      <c r="E224" s="407">
        <v>5</v>
      </c>
      <c r="F224" s="407">
        <v>5</v>
      </c>
      <c r="G224" s="408">
        <v>5</v>
      </c>
    </row>
    <row r="225" spans="1:7" ht="17.149999999999999" customHeight="1" thickBot="1" x14ac:dyDescent="0.35">
      <c r="A225" s="295">
        <v>400</v>
      </c>
      <c r="B225" s="26" t="s">
        <v>533</v>
      </c>
      <c r="C225" s="26" t="s">
        <v>53</v>
      </c>
      <c r="D225" s="258">
        <v>159</v>
      </c>
      <c r="E225" s="258">
        <v>150</v>
      </c>
      <c r="F225" s="258">
        <v>190</v>
      </c>
      <c r="G225" s="259">
        <v>180</v>
      </c>
    </row>
    <row r="226" spans="1:7" ht="17.149999999999999" customHeight="1" thickBot="1" x14ac:dyDescent="0.35">
      <c r="A226" s="296">
        <v>401</v>
      </c>
      <c r="B226" s="71" t="s">
        <v>178</v>
      </c>
      <c r="C226" s="71" t="s">
        <v>558</v>
      </c>
      <c r="D226" s="424">
        <v>150</v>
      </c>
      <c r="E226" s="424">
        <v>150</v>
      </c>
      <c r="F226" s="297">
        <v>180</v>
      </c>
      <c r="G226" s="263">
        <v>180</v>
      </c>
    </row>
    <row r="227" spans="1:7" ht="17.149999999999999" customHeight="1" x14ac:dyDescent="0.3">
      <c r="A227" s="270">
        <v>33</v>
      </c>
      <c r="B227" s="44" t="s">
        <v>353</v>
      </c>
      <c r="C227" s="44" t="s">
        <v>114</v>
      </c>
      <c r="D227" s="405">
        <f>1216*30/1000</f>
        <v>36.479999999999997</v>
      </c>
      <c r="E227" s="405">
        <f>950*30/1000</f>
        <v>28.5</v>
      </c>
      <c r="F227" s="405">
        <f>1216*50/1000</f>
        <v>60.8</v>
      </c>
      <c r="G227" s="406">
        <f>950*50/1000</f>
        <v>47.5</v>
      </c>
    </row>
    <row r="228" spans="1:7" ht="17.149999999999999" customHeight="1" x14ac:dyDescent="0.3">
      <c r="A228" s="183"/>
      <c r="B228" s="403" t="s">
        <v>518</v>
      </c>
      <c r="C228" s="22" t="s">
        <v>113</v>
      </c>
      <c r="D228" s="407">
        <f>60*30/1000</f>
        <v>1.8</v>
      </c>
      <c r="E228" s="407">
        <f>6030/1000</f>
        <v>6.03</v>
      </c>
      <c r="F228" s="407">
        <f>60*50/1000</f>
        <v>3</v>
      </c>
      <c r="G228" s="408">
        <f>60*50/1000</f>
        <v>3</v>
      </c>
    </row>
    <row r="229" spans="1:7" ht="17.149999999999999" customHeight="1" x14ac:dyDescent="0.3">
      <c r="A229" s="183">
        <v>75</v>
      </c>
      <c r="B229" s="22" t="s">
        <v>372</v>
      </c>
      <c r="C229" s="53" t="s">
        <v>152</v>
      </c>
      <c r="D229" s="407">
        <f>250*180/1000</f>
        <v>45</v>
      </c>
      <c r="E229" s="407">
        <f>200*180/1000</f>
        <v>36</v>
      </c>
      <c r="F229" s="407">
        <f>100*180/1000</f>
        <v>18</v>
      </c>
      <c r="G229" s="408">
        <f>80*180/1000</f>
        <v>14.4</v>
      </c>
    </row>
    <row r="230" spans="1:7" ht="17.149999999999999" customHeight="1" x14ac:dyDescent="0.3">
      <c r="A230" s="255"/>
      <c r="B230" s="53"/>
      <c r="C230" s="22" t="s">
        <v>185</v>
      </c>
      <c r="D230" s="407">
        <f>E230*1.33</f>
        <v>28.728000000000005</v>
      </c>
      <c r="E230" s="407">
        <f>120*180/1000</f>
        <v>21.6</v>
      </c>
      <c r="F230" s="407">
        <f>G230*1.33</f>
        <v>71.820000000000007</v>
      </c>
      <c r="G230" s="408">
        <f>300*180/1000</f>
        <v>54</v>
      </c>
    </row>
    <row r="231" spans="1:7" ht="17.149999999999999" customHeight="1" x14ac:dyDescent="0.3">
      <c r="A231" s="255"/>
      <c r="B231" s="413" t="s">
        <v>534</v>
      </c>
      <c r="C231" s="22" t="s">
        <v>186</v>
      </c>
      <c r="D231" s="407">
        <f>E231*1.43</f>
        <v>30.888000000000002</v>
      </c>
      <c r="E231" s="407">
        <f>120*180/1000</f>
        <v>21.6</v>
      </c>
      <c r="F231" s="407">
        <f>G231*1.43</f>
        <v>77.22</v>
      </c>
      <c r="G231" s="408">
        <f>300*180/1000</f>
        <v>54</v>
      </c>
    </row>
    <row r="232" spans="1:7" ht="17.149999999999999" customHeight="1" x14ac:dyDescent="0.3">
      <c r="A232" s="255"/>
      <c r="B232" s="53"/>
      <c r="C232" s="22" t="s">
        <v>187</v>
      </c>
      <c r="D232" s="407">
        <f>E232*1.54</f>
        <v>33.264000000000003</v>
      </c>
      <c r="E232" s="407">
        <f>120*180/1000</f>
        <v>21.6</v>
      </c>
      <c r="F232" s="407">
        <f>G232*1.54</f>
        <v>83.16</v>
      </c>
      <c r="G232" s="408">
        <f>300*180/1000</f>
        <v>54</v>
      </c>
    </row>
    <row r="233" spans="1:7" ht="17.149999999999999" customHeight="1" x14ac:dyDescent="0.3">
      <c r="A233" s="255">
        <v>67</v>
      </c>
      <c r="B233" s="53" t="s">
        <v>452</v>
      </c>
      <c r="C233" s="22" t="s">
        <v>188</v>
      </c>
      <c r="D233" s="407">
        <f>E233*1.67</f>
        <v>36.072000000000003</v>
      </c>
      <c r="E233" s="407">
        <f>120*180/1000</f>
        <v>21.6</v>
      </c>
      <c r="F233" s="407">
        <f>G233*1.67</f>
        <v>90.179999999999993</v>
      </c>
      <c r="G233" s="408">
        <f>300*180/1000</f>
        <v>54</v>
      </c>
    </row>
    <row r="234" spans="1:7" ht="17.149999999999999" customHeight="1" x14ac:dyDescent="0.3">
      <c r="A234" s="255" t="s">
        <v>180</v>
      </c>
      <c r="B234" s="413" t="s">
        <v>534</v>
      </c>
      <c r="C234" s="278" t="s">
        <v>64</v>
      </c>
      <c r="D234" s="407">
        <f>63*180/1000</f>
        <v>11.34</v>
      </c>
      <c r="E234" s="407">
        <f>50*180/1000</f>
        <v>9</v>
      </c>
      <c r="F234" s="407">
        <f>50*180/1000</f>
        <v>9</v>
      </c>
      <c r="G234" s="408">
        <f>40*180/1000</f>
        <v>7.2</v>
      </c>
    </row>
    <row r="235" spans="1:7" ht="17.149999999999999" customHeight="1" x14ac:dyDescent="0.3">
      <c r="A235" s="255"/>
      <c r="B235" s="53"/>
      <c r="C235" s="278" t="s">
        <v>62</v>
      </c>
      <c r="D235" s="407">
        <f>48*180/1000</f>
        <v>8.64</v>
      </c>
      <c r="E235" s="407">
        <f>40*180/1000</f>
        <v>7.2</v>
      </c>
      <c r="F235" s="407">
        <f>48*180/1000</f>
        <v>8.64</v>
      </c>
      <c r="G235" s="408">
        <f>40*180/1000</f>
        <v>7.2</v>
      </c>
    </row>
    <row r="236" spans="1:7" ht="17.149999999999999" customHeight="1" x14ac:dyDescent="0.3">
      <c r="A236" s="255"/>
      <c r="B236" s="53"/>
      <c r="C236" s="278" t="s">
        <v>149</v>
      </c>
      <c r="D236" s="407">
        <v>0</v>
      </c>
      <c r="E236" s="407">
        <v>0</v>
      </c>
      <c r="F236" s="407">
        <f>67*180/1000</f>
        <v>12.06</v>
      </c>
      <c r="G236" s="408">
        <f>60*180/1000</f>
        <v>10.8</v>
      </c>
    </row>
    <row r="237" spans="1:7" ht="17.149999999999999" customHeight="1" x14ac:dyDescent="0.3">
      <c r="A237" s="255"/>
      <c r="B237" s="53"/>
      <c r="C237" s="278" t="s">
        <v>113</v>
      </c>
      <c r="D237" s="407">
        <f>20*180/1000</f>
        <v>3.6</v>
      </c>
      <c r="E237" s="407">
        <f>20*180/1000</f>
        <v>3.6</v>
      </c>
      <c r="F237" s="407">
        <f>20*180/1000</f>
        <v>3.6</v>
      </c>
      <c r="G237" s="408">
        <f>20*180/1000</f>
        <v>3.6</v>
      </c>
    </row>
    <row r="238" spans="1:7" ht="17.149999999999999" customHeight="1" x14ac:dyDescent="0.3">
      <c r="A238" s="255"/>
      <c r="B238" s="53"/>
      <c r="C238" s="278" t="s">
        <v>389</v>
      </c>
      <c r="D238" s="256">
        <f>800*180/1000</f>
        <v>144</v>
      </c>
      <c r="E238" s="256">
        <f>800*180/1000</f>
        <v>144</v>
      </c>
      <c r="F238" s="256">
        <f>700*180/1000</f>
        <v>126</v>
      </c>
      <c r="G238" s="257">
        <f>700*180/1000</f>
        <v>126</v>
      </c>
    </row>
    <row r="239" spans="1:7" ht="17.149999999999999" customHeight="1" x14ac:dyDescent="0.3">
      <c r="A239" s="255"/>
      <c r="B239" s="53"/>
      <c r="C239" s="278" t="s">
        <v>67</v>
      </c>
      <c r="D239" s="256">
        <v>10</v>
      </c>
      <c r="E239" s="256">
        <v>10</v>
      </c>
      <c r="F239" s="256">
        <v>10</v>
      </c>
      <c r="G239" s="257">
        <v>10</v>
      </c>
    </row>
    <row r="240" spans="1:7" ht="17.149999999999999" customHeight="1" x14ac:dyDescent="0.3">
      <c r="A240" s="255"/>
      <c r="B240" s="53"/>
      <c r="C240" s="278"/>
      <c r="D240" s="256"/>
      <c r="E240" s="256"/>
      <c r="F240" s="256"/>
      <c r="G240" s="257"/>
    </row>
    <row r="241" spans="1:7" ht="17.149999999999999" customHeight="1" x14ac:dyDescent="0.3">
      <c r="A241" s="255"/>
      <c r="B241" s="53"/>
      <c r="C241" s="278"/>
      <c r="D241" s="256"/>
      <c r="E241" s="256"/>
      <c r="F241" s="256"/>
      <c r="G241" s="257"/>
    </row>
    <row r="242" spans="1:7" ht="17.149999999999999" customHeight="1" x14ac:dyDescent="0.3">
      <c r="A242" s="183">
        <v>276</v>
      </c>
      <c r="B242" s="22" t="s">
        <v>260</v>
      </c>
      <c r="C242" s="22" t="s">
        <v>185</v>
      </c>
      <c r="D242" s="256">
        <f>E242*1.33</f>
        <v>154.28</v>
      </c>
      <c r="E242" s="256">
        <f>116</f>
        <v>116</v>
      </c>
      <c r="F242" s="256">
        <f>G242*1.33</f>
        <v>174.23000000000002</v>
      </c>
      <c r="G242" s="257">
        <v>131</v>
      </c>
    </row>
    <row r="243" spans="1:7" ht="17.149999999999999" customHeight="1" x14ac:dyDescent="0.3">
      <c r="A243" s="255"/>
      <c r="B243" s="22" t="s">
        <v>351</v>
      </c>
      <c r="C243" s="22" t="s">
        <v>186</v>
      </c>
      <c r="D243" s="256">
        <f>E243*1.43</f>
        <v>165.88</v>
      </c>
      <c r="E243" s="256">
        <f>116</f>
        <v>116</v>
      </c>
      <c r="F243" s="256">
        <f>G243*1.43</f>
        <v>187.32999999999998</v>
      </c>
      <c r="G243" s="257">
        <v>131</v>
      </c>
    </row>
    <row r="244" spans="1:7" ht="17.149999999999999" customHeight="1" x14ac:dyDescent="0.3">
      <c r="A244" s="255"/>
      <c r="B244" s="22"/>
      <c r="C244" s="22" t="s">
        <v>187</v>
      </c>
      <c r="D244" s="256">
        <f>E244*1.54</f>
        <v>178.64000000000001</v>
      </c>
      <c r="E244" s="256">
        <f>116</f>
        <v>116</v>
      </c>
      <c r="F244" s="256">
        <f>G244*1.54</f>
        <v>201.74</v>
      </c>
      <c r="G244" s="257">
        <v>131</v>
      </c>
    </row>
    <row r="245" spans="1:7" ht="17.149999999999999" customHeight="1" x14ac:dyDescent="0.3">
      <c r="A245" s="255"/>
      <c r="B245" s="22" t="s">
        <v>350</v>
      </c>
      <c r="C245" s="22" t="s">
        <v>188</v>
      </c>
      <c r="D245" s="256">
        <f>E245*1.67</f>
        <v>193.72</v>
      </c>
      <c r="E245" s="256">
        <f>116</f>
        <v>116</v>
      </c>
      <c r="F245" s="256">
        <f>G245*1.67</f>
        <v>218.76999999999998</v>
      </c>
      <c r="G245" s="257">
        <v>131</v>
      </c>
    </row>
    <row r="246" spans="1:7" ht="17.149999999999999" customHeight="1" x14ac:dyDescent="0.3">
      <c r="A246" s="255"/>
      <c r="B246" s="22"/>
      <c r="C246" s="53" t="s">
        <v>155</v>
      </c>
      <c r="D246" s="256">
        <f>E246*1.15</f>
        <v>92.958333333333314</v>
      </c>
      <c r="E246" s="256">
        <f>97*50/60</f>
        <v>80.833333333333329</v>
      </c>
      <c r="F246" s="256">
        <f>G246*1.15</f>
        <v>111.26249999999999</v>
      </c>
      <c r="G246" s="257">
        <f>129*60/80</f>
        <v>96.75</v>
      </c>
    </row>
    <row r="247" spans="1:7" ht="17.149999999999999" customHeight="1" x14ac:dyDescent="0.3">
      <c r="A247" s="255"/>
      <c r="B247" s="22"/>
      <c r="C247" s="53" t="s">
        <v>62</v>
      </c>
      <c r="D247" s="256">
        <v>12</v>
      </c>
      <c r="E247" s="256">
        <v>10</v>
      </c>
      <c r="F247" s="256">
        <v>13</v>
      </c>
      <c r="G247" s="257">
        <v>11</v>
      </c>
    </row>
    <row r="248" spans="1:7" ht="17.149999999999999" customHeight="1" x14ac:dyDescent="0.3">
      <c r="A248" s="255"/>
      <c r="B248" s="22"/>
      <c r="C248" s="53" t="s">
        <v>115</v>
      </c>
      <c r="D248" s="256">
        <v>0</v>
      </c>
      <c r="E248" s="256">
        <v>0</v>
      </c>
      <c r="F248" s="256">
        <f>10*0.4</f>
        <v>4</v>
      </c>
      <c r="G248" s="257">
        <f>10*0.4</f>
        <v>4</v>
      </c>
    </row>
    <row r="249" spans="1:7" ht="17.149999999999999" customHeight="1" x14ac:dyDescent="0.3">
      <c r="A249" s="255"/>
      <c r="B249" s="22"/>
      <c r="C249" s="53" t="s">
        <v>154</v>
      </c>
      <c r="D249" s="256">
        <v>4</v>
      </c>
      <c r="E249" s="256">
        <v>4</v>
      </c>
      <c r="F249" s="256">
        <v>6</v>
      </c>
      <c r="G249" s="257">
        <v>6</v>
      </c>
    </row>
    <row r="250" spans="1:7" ht="17.149999999999999" customHeight="1" x14ac:dyDescent="0.3">
      <c r="A250" s="255">
        <v>382</v>
      </c>
      <c r="B250" s="22" t="s">
        <v>136</v>
      </c>
      <c r="C250" s="22" t="s">
        <v>286</v>
      </c>
      <c r="D250" s="256">
        <f>300*150/1000</f>
        <v>45</v>
      </c>
      <c r="E250" s="256">
        <f>300*150/1000</f>
        <v>45</v>
      </c>
      <c r="F250" s="256">
        <f>300*180/1000</f>
        <v>54</v>
      </c>
      <c r="G250" s="257">
        <f>300*180/1000</f>
        <v>54</v>
      </c>
    </row>
    <row r="251" spans="1:7" ht="17.149999999999999" customHeight="1" x14ac:dyDescent="0.3">
      <c r="A251" s="255"/>
      <c r="B251" s="22"/>
      <c r="C251" s="22" t="s">
        <v>141</v>
      </c>
      <c r="D251" s="256">
        <f>50*150/1000/2</f>
        <v>3.75</v>
      </c>
      <c r="E251" s="256">
        <f>50*150/1000/2</f>
        <v>3.75</v>
      </c>
      <c r="F251" s="256">
        <f>50*180/1000/2</f>
        <v>4.5</v>
      </c>
      <c r="G251" s="257">
        <f>50*180/1000/2</f>
        <v>4.5</v>
      </c>
    </row>
    <row r="252" spans="1:7" ht="17.149999999999999" customHeight="1" x14ac:dyDescent="0.3">
      <c r="A252" s="255"/>
      <c r="B252" s="22"/>
      <c r="C252" s="22" t="s">
        <v>57</v>
      </c>
      <c r="D252" s="256">
        <f>120*150/1000</f>
        <v>18</v>
      </c>
      <c r="E252" s="256">
        <f>120*150/1000</f>
        <v>18</v>
      </c>
      <c r="F252" s="256">
        <f>120*180/1000</f>
        <v>21.6</v>
      </c>
      <c r="G252" s="257">
        <f>120*180/1000</f>
        <v>21.6</v>
      </c>
    </row>
    <row r="253" spans="1:7" ht="17.149999999999999" customHeight="1" x14ac:dyDescent="0.3">
      <c r="A253" s="255"/>
      <c r="B253" s="22"/>
      <c r="C253" s="22" t="s">
        <v>56</v>
      </c>
      <c r="D253" s="256">
        <f>700*150/1000</f>
        <v>105</v>
      </c>
      <c r="E253" s="256">
        <f>700*150/1000</f>
        <v>105</v>
      </c>
      <c r="F253" s="256">
        <f>700*180/1000</f>
        <v>126</v>
      </c>
      <c r="G253" s="257">
        <f>700*180/1000</f>
        <v>126</v>
      </c>
    </row>
    <row r="254" spans="1:7" ht="17.149999999999999" customHeight="1" x14ac:dyDescent="0.3">
      <c r="A254" s="255">
        <v>1</v>
      </c>
      <c r="B254" s="22" t="s">
        <v>76</v>
      </c>
      <c r="C254" s="22" t="s">
        <v>50</v>
      </c>
      <c r="D254" s="256">
        <v>20</v>
      </c>
      <c r="E254" s="256">
        <v>20</v>
      </c>
      <c r="F254" s="256">
        <v>25</v>
      </c>
      <c r="G254" s="257">
        <v>25</v>
      </c>
    </row>
    <row r="255" spans="1:7" ht="17.149999999999999" customHeight="1" thickBot="1" x14ac:dyDescent="0.35">
      <c r="A255" s="96">
        <v>1</v>
      </c>
      <c r="B255" s="26" t="s">
        <v>117</v>
      </c>
      <c r="C255" s="26" t="s">
        <v>51</v>
      </c>
      <c r="D255" s="258">
        <v>17</v>
      </c>
      <c r="E255" s="258">
        <v>17</v>
      </c>
      <c r="F255" s="258">
        <v>21</v>
      </c>
      <c r="G255" s="259">
        <v>21</v>
      </c>
    </row>
    <row r="256" spans="1:7" ht="17.149999999999999" customHeight="1" x14ac:dyDescent="0.3">
      <c r="A256" s="95" t="s">
        <v>478</v>
      </c>
      <c r="B256" s="44" t="s">
        <v>480</v>
      </c>
      <c r="C256" s="44" t="s">
        <v>97</v>
      </c>
      <c r="D256" s="253">
        <v>45.3</v>
      </c>
      <c r="E256" s="253">
        <v>45</v>
      </c>
      <c r="F256" s="253">
        <f>45.3*100/50</f>
        <v>90.6</v>
      </c>
      <c r="G256" s="254">
        <f>45*100/50</f>
        <v>90</v>
      </c>
    </row>
    <row r="257" spans="1:7" ht="17.149999999999999" customHeight="1" x14ac:dyDescent="0.3">
      <c r="A257" s="598" t="s">
        <v>479</v>
      </c>
      <c r="B257" s="22" t="s">
        <v>453</v>
      </c>
      <c r="C257" s="22" t="s">
        <v>98</v>
      </c>
      <c r="D257" s="256">
        <f>3.7</f>
        <v>3.7</v>
      </c>
      <c r="E257" s="256">
        <v>3.7</v>
      </c>
      <c r="F257" s="256">
        <f>3.7*100/50</f>
        <v>7.4</v>
      </c>
      <c r="G257" s="257">
        <f>3.7*100/50</f>
        <v>7.4</v>
      </c>
    </row>
    <row r="258" spans="1:7" ht="11.25" customHeight="1" x14ac:dyDescent="0.3">
      <c r="A258" s="599"/>
      <c r="B258" s="22" t="s">
        <v>250</v>
      </c>
      <c r="C258" s="22" t="s">
        <v>133</v>
      </c>
      <c r="D258" s="256">
        <v>1.8</v>
      </c>
      <c r="E258" s="256">
        <v>1.8</v>
      </c>
      <c r="F258" s="256">
        <f>1.8*2</f>
        <v>3.6</v>
      </c>
      <c r="G258" s="257">
        <f>1.8*2</f>
        <v>3.6</v>
      </c>
    </row>
    <row r="259" spans="1:7" ht="15" customHeight="1" x14ac:dyDescent="0.3">
      <c r="A259" s="599"/>
      <c r="B259" s="22"/>
      <c r="C259" s="22" t="s">
        <v>154</v>
      </c>
      <c r="D259" s="256">
        <v>0.7</v>
      </c>
      <c r="E259" s="256">
        <v>0.7</v>
      </c>
      <c r="F259" s="256">
        <v>1.4</v>
      </c>
      <c r="G259" s="257">
        <v>1.4</v>
      </c>
    </row>
    <row r="260" spans="1:7" ht="11.5" customHeight="1" x14ac:dyDescent="0.3">
      <c r="A260" s="600"/>
      <c r="B260" s="22"/>
      <c r="C260" s="22" t="s">
        <v>57</v>
      </c>
      <c r="D260" s="256">
        <v>5</v>
      </c>
      <c r="E260" s="256">
        <v>5</v>
      </c>
      <c r="F260" s="256">
        <f>5*100/50</f>
        <v>10</v>
      </c>
      <c r="G260" s="257">
        <v>8</v>
      </c>
    </row>
    <row r="261" spans="1:7" ht="11.5" customHeight="1" x14ac:dyDescent="0.3">
      <c r="A261" s="601"/>
      <c r="B261" s="22"/>
      <c r="C261" s="22" t="s">
        <v>160</v>
      </c>
      <c r="D261" s="271">
        <v>0.01</v>
      </c>
      <c r="E261" s="271">
        <v>0.01</v>
      </c>
      <c r="F261" s="271">
        <v>2.4E-2</v>
      </c>
      <c r="G261" s="272">
        <v>2.4E-2</v>
      </c>
    </row>
    <row r="262" spans="1:7" ht="11.5" customHeight="1" x14ac:dyDescent="0.3">
      <c r="A262" s="299"/>
      <c r="B262" s="300"/>
      <c r="C262" s="22" t="s">
        <v>68</v>
      </c>
      <c r="D262" s="271">
        <v>3.3</v>
      </c>
      <c r="E262" s="271">
        <v>3.3</v>
      </c>
      <c r="F262" s="271">
        <v>6.6</v>
      </c>
      <c r="G262" s="272">
        <v>6.6</v>
      </c>
    </row>
    <row r="263" spans="1:7" ht="11.5" customHeight="1" x14ac:dyDescent="0.3">
      <c r="A263" s="299"/>
      <c r="B263" s="300"/>
      <c r="C263" s="22" t="s">
        <v>67</v>
      </c>
      <c r="D263" s="271">
        <v>1.7</v>
      </c>
      <c r="E263" s="271">
        <v>1.7</v>
      </c>
      <c r="F263" s="271">
        <v>3.4</v>
      </c>
      <c r="G263" s="272">
        <v>3.4</v>
      </c>
    </row>
    <row r="264" spans="1:7" ht="11.5" customHeight="1" x14ac:dyDescent="0.3">
      <c r="A264" s="299"/>
      <c r="B264" s="300"/>
      <c r="C264" s="22" t="s">
        <v>58</v>
      </c>
      <c r="D264" s="271">
        <v>0.1</v>
      </c>
      <c r="E264" s="271">
        <v>0.1</v>
      </c>
      <c r="F264" s="271">
        <v>0.2</v>
      </c>
      <c r="G264" s="272">
        <v>0.2</v>
      </c>
    </row>
    <row r="265" spans="1:7" ht="11.5" customHeight="1" x14ac:dyDescent="0.3">
      <c r="A265" s="298" t="s">
        <v>439</v>
      </c>
      <c r="B265" s="255" t="s">
        <v>438</v>
      </c>
      <c r="C265" s="22" t="s">
        <v>440</v>
      </c>
      <c r="D265" s="256">
        <v>20</v>
      </c>
      <c r="E265" s="256">
        <v>20</v>
      </c>
      <c r="F265" s="256">
        <v>20</v>
      </c>
      <c r="G265" s="257">
        <v>20</v>
      </c>
    </row>
    <row r="266" spans="1:7" ht="11.5" customHeight="1" x14ac:dyDescent="0.3">
      <c r="A266" s="183">
        <v>392</v>
      </c>
      <c r="B266" s="22" t="s">
        <v>556</v>
      </c>
      <c r="C266" s="22" t="s">
        <v>557</v>
      </c>
      <c r="D266" s="407">
        <v>0.2</v>
      </c>
      <c r="E266" s="407">
        <v>0.2</v>
      </c>
      <c r="F266" s="407">
        <v>0.3</v>
      </c>
      <c r="G266" s="408">
        <v>0.3</v>
      </c>
    </row>
    <row r="267" spans="1:7" ht="11.5" customHeight="1" thickBot="1" x14ac:dyDescent="0.35">
      <c r="A267" s="96">
        <v>1</v>
      </c>
      <c r="B267" s="26" t="s">
        <v>117</v>
      </c>
      <c r="C267" s="26" t="s">
        <v>116</v>
      </c>
      <c r="D267" s="258">
        <v>17</v>
      </c>
      <c r="E267" s="258">
        <v>17</v>
      </c>
      <c r="F267" s="258">
        <v>21</v>
      </c>
      <c r="G267" s="259">
        <v>21</v>
      </c>
    </row>
    <row r="268" spans="1:7" ht="30" customHeight="1" thickBot="1" x14ac:dyDescent="0.35">
      <c r="A268" s="100"/>
      <c r="B268" s="40"/>
      <c r="C268" s="40"/>
      <c r="D268" s="138"/>
      <c r="E268" s="138"/>
      <c r="F268" s="138"/>
      <c r="G268" s="186"/>
    </row>
    <row r="269" spans="1:7" ht="11.15" customHeight="1" thickBot="1" x14ac:dyDescent="0.35">
      <c r="A269" s="137"/>
      <c r="B269" s="102"/>
      <c r="C269" s="165"/>
      <c r="D269" s="583" t="s">
        <v>72</v>
      </c>
      <c r="E269" s="584"/>
      <c r="F269" s="585" t="s">
        <v>73</v>
      </c>
      <c r="G269" s="584"/>
    </row>
    <row r="270" spans="1:7" ht="11.15" customHeight="1" thickBot="1" x14ac:dyDescent="0.35">
      <c r="A270" s="166" t="s">
        <v>148</v>
      </c>
      <c r="B270" s="167" t="s">
        <v>14</v>
      </c>
      <c r="C270" s="167"/>
      <c r="D270" s="155" t="s">
        <v>96</v>
      </c>
      <c r="E270" s="156" t="s">
        <v>48</v>
      </c>
      <c r="F270" s="155" t="s">
        <v>96</v>
      </c>
      <c r="G270" s="156" t="s">
        <v>48</v>
      </c>
    </row>
    <row r="271" spans="1:7" ht="11.15" customHeight="1" x14ac:dyDescent="0.3">
      <c r="A271" s="270">
        <v>168</v>
      </c>
      <c r="B271" s="44" t="s">
        <v>484</v>
      </c>
      <c r="C271" s="44" t="s">
        <v>125</v>
      </c>
      <c r="D271" s="405">
        <f>820*130/1000</f>
        <v>106.6</v>
      </c>
      <c r="E271" s="405">
        <f>820*130/1000</f>
        <v>106.6</v>
      </c>
      <c r="F271" s="405">
        <f>820*150/1000</f>
        <v>123</v>
      </c>
      <c r="G271" s="405">
        <f>820*150/1000</f>
        <v>123</v>
      </c>
    </row>
    <row r="272" spans="1:7" ht="11.15" customHeight="1" x14ac:dyDescent="0.3">
      <c r="A272" s="255"/>
      <c r="B272" s="22" t="s">
        <v>516</v>
      </c>
      <c r="C272" s="22" t="s">
        <v>153</v>
      </c>
      <c r="D272" s="407">
        <f>D271*0.12</f>
        <v>12.791999999999998</v>
      </c>
      <c r="E272" s="407">
        <f>E271*0.12</f>
        <v>12.791999999999998</v>
      </c>
      <c r="F272" s="407">
        <f>F271*0.12</f>
        <v>14.76</v>
      </c>
      <c r="G272" s="407">
        <f>G271*0.12</f>
        <v>14.76</v>
      </c>
    </row>
    <row r="273" spans="1:7" ht="11.15" customHeight="1" x14ac:dyDescent="0.3">
      <c r="A273" s="255"/>
      <c r="B273" s="22"/>
      <c r="C273" s="22" t="s">
        <v>59</v>
      </c>
      <c r="D273" s="407">
        <v>5</v>
      </c>
      <c r="E273" s="407">
        <v>5</v>
      </c>
      <c r="F273" s="407">
        <v>5</v>
      </c>
      <c r="G273" s="407">
        <v>5</v>
      </c>
    </row>
    <row r="274" spans="1:7" ht="11.15" customHeight="1" x14ac:dyDescent="0.3">
      <c r="A274" s="255"/>
      <c r="B274" s="22"/>
      <c r="C274" s="22" t="s">
        <v>57</v>
      </c>
      <c r="D274" s="407">
        <v>5</v>
      </c>
      <c r="E274" s="407">
        <v>5</v>
      </c>
      <c r="F274" s="407">
        <v>5</v>
      </c>
      <c r="G274" s="407">
        <v>5</v>
      </c>
    </row>
    <row r="275" spans="1:7" ht="11.15" customHeight="1" x14ac:dyDescent="0.3">
      <c r="A275" s="255"/>
      <c r="B275" s="22"/>
      <c r="C275" s="22" t="s">
        <v>483</v>
      </c>
      <c r="D275" s="407">
        <f>250*130/1000</f>
        <v>32.5</v>
      </c>
      <c r="E275" s="407">
        <f>250*130/1000</f>
        <v>32.5</v>
      </c>
      <c r="F275" s="407">
        <f>250*150/1000</f>
        <v>37.5</v>
      </c>
      <c r="G275" s="407">
        <f>250*150/1000</f>
        <v>37.5</v>
      </c>
    </row>
    <row r="276" spans="1:7" ht="11.15" customHeight="1" x14ac:dyDescent="0.3">
      <c r="A276" s="255"/>
      <c r="B276" s="22"/>
      <c r="C276" s="22" t="s">
        <v>268</v>
      </c>
      <c r="D276" s="256">
        <v>117.2</v>
      </c>
      <c r="E276" s="256">
        <v>117.2</v>
      </c>
      <c r="F276" s="256">
        <v>156.6</v>
      </c>
      <c r="G276" s="256">
        <v>156.30000000000001</v>
      </c>
    </row>
    <row r="277" spans="1:7" ht="11.15" customHeight="1" x14ac:dyDescent="0.3">
      <c r="A277" s="183">
        <v>1</v>
      </c>
      <c r="B277" s="22" t="s">
        <v>473</v>
      </c>
      <c r="C277" s="22" t="s">
        <v>474</v>
      </c>
      <c r="D277" s="256">
        <v>24</v>
      </c>
      <c r="E277" s="256">
        <v>24</v>
      </c>
      <c r="F277" s="256">
        <v>30</v>
      </c>
      <c r="G277" s="257">
        <v>30</v>
      </c>
    </row>
    <row r="278" spans="1:7" ht="11.15" customHeight="1" x14ac:dyDescent="0.3">
      <c r="A278" s="255"/>
      <c r="B278" s="22" t="s">
        <v>87</v>
      </c>
      <c r="C278" s="22" t="s">
        <v>0</v>
      </c>
      <c r="D278" s="256">
        <f>10.6/2</f>
        <v>5.3</v>
      </c>
      <c r="E278" s="256">
        <f>10/2</f>
        <v>5</v>
      </c>
      <c r="F278" s="256">
        <v>10.6</v>
      </c>
      <c r="G278" s="256">
        <v>10</v>
      </c>
    </row>
    <row r="279" spans="1:7" ht="11.15" customHeight="1" x14ac:dyDescent="0.3">
      <c r="A279" s="183">
        <v>394</v>
      </c>
      <c r="B279" s="22" t="s">
        <v>52</v>
      </c>
      <c r="C279" s="22" t="s">
        <v>78</v>
      </c>
      <c r="D279" s="256">
        <v>0.2</v>
      </c>
      <c r="E279" s="256">
        <v>0.2</v>
      </c>
      <c r="F279" s="256">
        <v>0.3</v>
      </c>
      <c r="G279" s="257">
        <v>0.3</v>
      </c>
    </row>
    <row r="280" spans="1:7" ht="11.15" customHeight="1" x14ac:dyDescent="0.3">
      <c r="A280" s="301"/>
      <c r="B280" s="36"/>
      <c r="C280" s="36" t="s">
        <v>356</v>
      </c>
      <c r="D280" s="302">
        <v>20</v>
      </c>
      <c r="E280" s="302">
        <v>20</v>
      </c>
      <c r="F280" s="302">
        <v>30</v>
      </c>
      <c r="G280" s="303">
        <v>30</v>
      </c>
    </row>
    <row r="281" spans="1:7" ht="11.15" customHeight="1" x14ac:dyDescent="0.3">
      <c r="A281" s="274"/>
      <c r="B281" s="36" t="s">
        <v>305</v>
      </c>
      <c r="C281" s="36" t="s">
        <v>57</v>
      </c>
      <c r="D281" s="302">
        <v>7</v>
      </c>
      <c r="E281" s="302">
        <v>7</v>
      </c>
      <c r="F281" s="302">
        <v>10</v>
      </c>
      <c r="G281" s="303">
        <v>10</v>
      </c>
    </row>
    <row r="282" spans="1:7" ht="11.15" customHeight="1" thickBot="1" x14ac:dyDescent="0.35">
      <c r="A282" s="274"/>
      <c r="B282" s="36"/>
      <c r="C282" s="36" t="s">
        <v>53</v>
      </c>
      <c r="D282" s="302">
        <v>132</v>
      </c>
      <c r="E282" s="302">
        <v>130</v>
      </c>
      <c r="F282" s="302">
        <v>152</v>
      </c>
      <c r="G282" s="303">
        <v>150</v>
      </c>
    </row>
    <row r="283" spans="1:7" ht="11.15" customHeight="1" thickBot="1" x14ac:dyDescent="0.35">
      <c r="A283" s="304" t="s">
        <v>2</v>
      </c>
      <c r="B283" s="200" t="s">
        <v>535</v>
      </c>
      <c r="C283" s="200" t="s">
        <v>49</v>
      </c>
      <c r="D283" s="305">
        <v>200</v>
      </c>
      <c r="E283" s="305">
        <v>200</v>
      </c>
      <c r="F283" s="425">
        <v>180</v>
      </c>
      <c r="G283" s="421">
        <v>180</v>
      </c>
    </row>
    <row r="284" spans="1:7" ht="11.15" customHeight="1" x14ac:dyDescent="0.3">
      <c r="A284" s="270">
        <v>25</v>
      </c>
      <c r="B284" s="44" t="s">
        <v>261</v>
      </c>
      <c r="C284" s="44" t="s">
        <v>185</v>
      </c>
      <c r="D284" s="405">
        <f>E284*1.33</f>
        <v>15.96</v>
      </c>
      <c r="E284" s="405">
        <f>400*30/1000</f>
        <v>12</v>
      </c>
      <c r="F284" s="405">
        <f>G284*1.33</f>
        <v>26.6</v>
      </c>
      <c r="G284" s="406">
        <f>400*50/1000</f>
        <v>20</v>
      </c>
    </row>
    <row r="285" spans="1:7" ht="11.15" customHeight="1" x14ac:dyDescent="0.3">
      <c r="A285" s="255"/>
      <c r="B285" s="403" t="s">
        <v>518</v>
      </c>
      <c r="C285" s="22" t="s">
        <v>186</v>
      </c>
      <c r="D285" s="407">
        <f>E285*1.43</f>
        <v>17.16</v>
      </c>
      <c r="E285" s="407">
        <f>400*30/1000</f>
        <v>12</v>
      </c>
      <c r="F285" s="407">
        <f>G285*1.43</f>
        <v>28.599999999999998</v>
      </c>
      <c r="G285" s="408">
        <f>400*50/1000</f>
        <v>20</v>
      </c>
    </row>
    <row r="286" spans="1:7" ht="11.15" customHeight="1" x14ac:dyDescent="0.3">
      <c r="A286" s="255"/>
      <c r="B286" s="22"/>
      <c r="C286" s="22" t="s">
        <v>187</v>
      </c>
      <c r="D286" s="407">
        <f>E286*1.54</f>
        <v>18.48</v>
      </c>
      <c r="E286" s="407">
        <f>400*30/1000</f>
        <v>12</v>
      </c>
      <c r="F286" s="407">
        <f>G286*1.54</f>
        <v>30.8</v>
      </c>
      <c r="G286" s="408">
        <f>400*50/1000</f>
        <v>20</v>
      </c>
    </row>
    <row r="287" spans="1:7" ht="11.15" customHeight="1" x14ac:dyDescent="0.3">
      <c r="A287" s="255"/>
      <c r="B287" s="22"/>
      <c r="C287" s="22" t="s">
        <v>188</v>
      </c>
      <c r="D287" s="407">
        <f>E287*1.67</f>
        <v>20.04</v>
      </c>
      <c r="E287" s="407">
        <f>400*30/1000</f>
        <v>12</v>
      </c>
      <c r="F287" s="407">
        <f>G287*1.67</f>
        <v>33.4</v>
      </c>
      <c r="G287" s="408">
        <f>400*50/1000</f>
        <v>20</v>
      </c>
    </row>
    <row r="288" spans="1:7" ht="11.15" customHeight="1" x14ac:dyDescent="0.3">
      <c r="A288" s="255"/>
      <c r="B288" s="22"/>
      <c r="C288" s="22" t="s">
        <v>64</v>
      </c>
      <c r="D288" s="407">
        <f>188*30/1000</f>
        <v>5.64</v>
      </c>
      <c r="E288" s="407">
        <f>150*30/1000</f>
        <v>4.5</v>
      </c>
      <c r="F288" s="407">
        <f>188*50/1000</f>
        <v>9.4</v>
      </c>
      <c r="G288" s="408">
        <f>150*50/1000</f>
        <v>7.5</v>
      </c>
    </row>
    <row r="289" spans="1:7" ht="11.15" customHeight="1" x14ac:dyDescent="0.3">
      <c r="A289" s="255"/>
      <c r="B289" s="22"/>
      <c r="C289" s="22" t="s">
        <v>159</v>
      </c>
      <c r="D289" s="407">
        <f>231*30/1000</f>
        <v>6.93</v>
      </c>
      <c r="E289" s="407">
        <f>150*30/1000</f>
        <v>4.5</v>
      </c>
      <c r="F289" s="407">
        <f>231*50/1000</f>
        <v>11.55</v>
      </c>
      <c r="G289" s="408">
        <f>150*50/1000</f>
        <v>7.5</v>
      </c>
    </row>
    <row r="290" spans="1:7" ht="11.15" customHeight="1" x14ac:dyDescent="0.3">
      <c r="A290" s="255"/>
      <c r="B290" s="22"/>
      <c r="C290" s="22" t="s">
        <v>236</v>
      </c>
      <c r="D290" s="407">
        <f>125*30/1000</f>
        <v>3.75</v>
      </c>
      <c r="E290" s="407">
        <f>100*30/1000</f>
        <v>3</v>
      </c>
      <c r="F290" s="407">
        <f>125*50/1000</f>
        <v>6.25</v>
      </c>
      <c r="G290" s="408">
        <f>100*50/1000</f>
        <v>5</v>
      </c>
    </row>
    <row r="291" spans="1:7" ht="11.15" customHeight="1" x14ac:dyDescent="0.3">
      <c r="A291" s="255"/>
      <c r="B291" s="22"/>
      <c r="C291" s="22" t="s">
        <v>296</v>
      </c>
      <c r="D291" s="407">
        <f>200*30/1000</f>
        <v>6</v>
      </c>
      <c r="E291" s="407">
        <f>160*30/1000</f>
        <v>4.8</v>
      </c>
      <c r="F291" s="407">
        <f>200*50/1000</f>
        <v>10</v>
      </c>
      <c r="G291" s="408">
        <f>160*50/1000</f>
        <v>8</v>
      </c>
    </row>
    <row r="292" spans="1:7" ht="11.15" customHeight="1" x14ac:dyDescent="0.3">
      <c r="A292" s="255"/>
      <c r="B292" s="22"/>
      <c r="C292" s="22" t="s">
        <v>164</v>
      </c>
      <c r="D292" s="407">
        <f>50*30/1000</f>
        <v>1.5</v>
      </c>
      <c r="E292" s="407">
        <f>50*30/1000</f>
        <v>1.5</v>
      </c>
      <c r="F292" s="407">
        <f>50*50/1000</f>
        <v>2.5</v>
      </c>
      <c r="G292" s="408">
        <f>50*50/1000</f>
        <v>2.5</v>
      </c>
    </row>
    <row r="293" spans="1:7" ht="11.15" customHeight="1" x14ac:dyDescent="0.3">
      <c r="A293" s="183">
        <v>86</v>
      </c>
      <c r="B293" s="22" t="s">
        <v>239</v>
      </c>
      <c r="C293" s="284" t="s">
        <v>297</v>
      </c>
      <c r="D293" s="285"/>
      <c r="E293" s="285">
        <f>80*200/1000</f>
        <v>16</v>
      </c>
      <c r="F293" s="285"/>
      <c r="G293" s="286">
        <f>80*250/1000</f>
        <v>20</v>
      </c>
    </row>
    <row r="294" spans="1:7" ht="11.15" customHeight="1" x14ac:dyDescent="0.3">
      <c r="A294" s="255"/>
      <c r="B294" s="22"/>
      <c r="C294" s="22" t="s">
        <v>119</v>
      </c>
      <c r="D294" s="280">
        <f>875*E293/1000</f>
        <v>14</v>
      </c>
      <c r="E294" s="256">
        <f>875*E293/1000</f>
        <v>14</v>
      </c>
      <c r="F294" s="280">
        <f>875*G293/1000</f>
        <v>17.5</v>
      </c>
      <c r="G294" s="257">
        <f>875*G293/1000</f>
        <v>17.5</v>
      </c>
    </row>
    <row r="295" spans="1:7" ht="11.15" customHeight="1" x14ac:dyDescent="0.3">
      <c r="A295" s="255"/>
      <c r="B295" s="22" t="s">
        <v>299</v>
      </c>
      <c r="C295" s="22" t="s">
        <v>175</v>
      </c>
      <c r="D295" s="256">
        <f>60*E293/1000</f>
        <v>0.96</v>
      </c>
      <c r="E295" s="256">
        <f>60*E293/1000</f>
        <v>0.96</v>
      </c>
      <c r="F295" s="256">
        <f>60*G293/1000</f>
        <v>1.2</v>
      </c>
      <c r="G295" s="257">
        <f>60*G293/1000</f>
        <v>1.2</v>
      </c>
    </row>
    <row r="296" spans="1:7" ht="11.15" customHeight="1" x14ac:dyDescent="0.3">
      <c r="A296" s="255"/>
      <c r="B296" s="22"/>
      <c r="C296" s="22" t="s">
        <v>133</v>
      </c>
      <c r="D296" s="256">
        <f>250*E293/1000</f>
        <v>4</v>
      </c>
      <c r="E296" s="256">
        <f>250*E293/1000</f>
        <v>4</v>
      </c>
      <c r="F296" s="256">
        <f>250*G293/1000</f>
        <v>5</v>
      </c>
      <c r="G296" s="257">
        <f>250*G293/1000</f>
        <v>5</v>
      </c>
    </row>
    <row r="297" spans="1:7" ht="11.15" customHeight="1" x14ac:dyDescent="0.3">
      <c r="A297" s="255"/>
      <c r="B297" s="22"/>
      <c r="C297" s="53" t="s">
        <v>56</v>
      </c>
      <c r="D297" s="256">
        <f>175*E293/1000</f>
        <v>2.8</v>
      </c>
      <c r="E297" s="256">
        <f>175*E293/1000</f>
        <v>2.8</v>
      </c>
      <c r="F297" s="256">
        <f>175*G293/1000</f>
        <v>3.5</v>
      </c>
      <c r="G297" s="257">
        <f>175*G293/1000</f>
        <v>3.5</v>
      </c>
    </row>
    <row r="298" spans="1:7" ht="11.15" customHeight="1" x14ac:dyDescent="0.3">
      <c r="A298" s="255"/>
      <c r="B298" s="22"/>
      <c r="C298" s="22" t="s">
        <v>58</v>
      </c>
      <c r="D298" s="256">
        <f>15*E293/1000</f>
        <v>0.24</v>
      </c>
      <c r="E298" s="256">
        <f>15*E293/1000</f>
        <v>0.24</v>
      </c>
      <c r="F298" s="256">
        <f>15*G293/1000</f>
        <v>0.3</v>
      </c>
      <c r="G298" s="257">
        <f>15*G293/1000</f>
        <v>0.3</v>
      </c>
    </row>
    <row r="299" spans="1:7" ht="11.15" customHeight="1" x14ac:dyDescent="0.3">
      <c r="A299" s="255"/>
      <c r="B299" s="22"/>
      <c r="C299" s="284" t="s">
        <v>298</v>
      </c>
      <c r="D299" s="285"/>
      <c r="E299" s="285">
        <f>200*200/1000</f>
        <v>40</v>
      </c>
      <c r="F299" s="285"/>
      <c r="G299" s="286">
        <f>200*250/1000</f>
        <v>50</v>
      </c>
    </row>
    <row r="300" spans="1:7" ht="11.15" customHeight="1" x14ac:dyDescent="0.3">
      <c r="A300" s="255"/>
      <c r="B300" s="22"/>
      <c r="C300" s="22" t="s">
        <v>62</v>
      </c>
      <c r="D300" s="256">
        <f>24*200/1000</f>
        <v>4.8</v>
      </c>
      <c r="E300" s="256">
        <f>20*200/1000</f>
        <v>4</v>
      </c>
      <c r="F300" s="256">
        <f>24*250/1000</f>
        <v>6</v>
      </c>
      <c r="G300" s="257">
        <f>20*250/1000</f>
        <v>5</v>
      </c>
    </row>
    <row r="301" spans="1:7" ht="11.15" customHeight="1" x14ac:dyDescent="0.3">
      <c r="A301" s="255"/>
      <c r="B301" s="22"/>
      <c r="C301" s="22" t="s">
        <v>64</v>
      </c>
      <c r="D301" s="256">
        <f>25*200/1000</f>
        <v>5</v>
      </c>
      <c r="E301" s="256">
        <f>20*200/1000</f>
        <v>4</v>
      </c>
      <c r="F301" s="256">
        <f>25*250/1000</f>
        <v>6.25</v>
      </c>
      <c r="G301" s="257">
        <f>20*250/1000</f>
        <v>5</v>
      </c>
    </row>
    <row r="302" spans="1:7" ht="11.15" customHeight="1" x14ac:dyDescent="0.3">
      <c r="A302" s="255"/>
      <c r="B302" s="22"/>
      <c r="C302" s="53" t="s">
        <v>113</v>
      </c>
      <c r="D302" s="256">
        <f>10*200/1000</f>
        <v>2</v>
      </c>
      <c r="E302" s="256">
        <f>10*200/1000</f>
        <v>2</v>
      </c>
      <c r="F302" s="256">
        <f>10*250/1000</f>
        <v>2.5</v>
      </c>
      <c r="G302" s="257">
        <f>10*250/1000</f>
        <v>2.5</v>
      </c>
    </row>
    <row r="303" spans="1:7" ht="11.15" customHeight="1" x14ac:dyDescent="0.3">
      <c r="A303" s="255"/>
      <c r="B303" s="22"/>
      <c r="C303" s="53" t="s">
        <v>65</v>
      </c>
      <c r="D303" s="256">
        <f>950*200/1000</f>
        <v>190</v>
      </c>
      <c r="E303" s="256">
        <f>950*200/1000</f>
        <v>190</v>
      </c>
      <c r="F303" s="256">
        <f>950*250/1000</f>
        <v>237.5</v>
      </c>
      <c r="G303" s="257">
        <f>950*250/1000</f>
        <v>237.5</v>
      </c>
    </row>
    <row r="304" spans="1:7" ht="11.15" customHeight="1" x14ac:dyDescent="0.3">
      <c r="A304" s="255"/>
      <c r="B304" s="22"/>
      <c r="C304" s="278" t="s">
        <v>216</v>
      </c>
      <c r="D304" s="256">
        <f>84*10/60</f>
        <v>14</v>
      </c>
      <c r="E304" s="256">
        <f>82*10/60</f>
        <v>13.666666666666666</v>
      </c>
      <c r="F304" s="256">
        <f>84*10/60</f>
        <v>14</v>
      </c>
      <c r="G304" s="257">
        <f>82*10/60</f>
        <v>13.666666666666666</v>
      </c>
    </row>
    <row r="305" spans="1:7" ht="11.15" customHeight="1" x14ac:dyDescent="0.3">
      <c r="A305" s="255"/>
      <c r="B305" s="22"/>
      <c r="C305" s="278" t="s">
        <v>176</v>
      </c>
      <c r="D305" s="256">
        <f>119*10/60</f>
        <v>19.833333333333332</v>
      </c>
      <c r="E305" s="256">
        <f>68*10/60</f>
        <v>11.333333333333334</v>
      </c>
      <c r="F305" s="256">
        <f>119*10/60</f>
        <v>19.833333333333332</v>
      </c>
      <c r="G305" s="257">
        <f>68*10/60</f>
        <v>11.333333333333334</v>
      </c>
    </row>
    <row r="306" spans="1:7" ht="11.15" customHeight="1" x14ac:dyDescent="0.3">
      <c r="A306" s="183">
        <v>306</v>
      </c>
      <c r="B306" s="22" t="s">
        <v>257</v>
      </c>
      <c r="C306" s="22" t="s">
        <v>237</v>
      </c>
      <c r="D306" s="256">
        <f>74*50/60</f>
        <v>61.666666666666664</v>
      </c>
      <c r="E306" s="256">
        <f>44*50/60</f>
        <v>36.666666666666664</v>
      </c>
      <c r="F306" s="256">
        <v>74</v>
      </c>
      <c r="G306" s="257">
        <v>44</v>
      </c>
    </row>
    <row r="307" spans="1:7" ht="11.15" customHeight="1" x14ac:dyDescent="0.3">
      <c r="A307" s="255"/>
      <c r="B307" s="53"/>
      <c r="C307" s="53" t="s">
        <v>283</v>
      </c>
      <c r="D307" s="256">
        <f>75*50/60</f>
        <v>62.5</v>
      </c>
      <c r="E307" s="256">
        <f>44*50/60</f>
        <v>36.666666666666664</v>
      </c>
      <c r="F307" s="256">
        <v>75</v>
      </c>
      <c r="G307" s="257">
        <v>44</v>
      </c>
    </row>
    <row r="308" spans="1:7" ht="11.15" customHeight="1" x14ac:dyDescent="0.3">
      <c r="A308" s="255"/>
      <c r="B308" s="53" t="s">
        <v>428</v>
      </c>
      <c r="C308" s="53" t="s">
        <v>271</v>
      </c>
      <c r="D308" s="256">
        <f>45*50/60</f>
        <v>37.5</v>
      </c>
      <c r="E308" s="256">
        <f>44*50/60</f>
        <v>36.666666666666664</v>
      </c>
      <c r="F308" s="256">
        <v>45</v>
      </c>
      <c r="G308" s="257">
        <v>44</v>
      </c>
    </row>
    <row r="309" spans="1:7" ht="11.15" customHeight="1" x14ac:dyDescent="0.3">
      <c r="A309" s="255"/>
      <c r="B309" s="22"/>
      <c r="C309" s="53" t="s">
        <v>209</v>
      </c>
      <c r="D309" s="256">
        <f>11*50/60</f>
        <v>9.1666666666666661</v>
      </c>
      <c r="E309" s="256">
        <f>11*50/60</f>
        <v>9.1666666666666661</v>
      </c>
      <c r="F309" s="256">
        <v>11</v>
      </c>
      <c r="G309" s="257">
        <v>11</v>
      </c>
    </row>
    <row r="310" spans="1:7" ht="11.15" customHeight="1" x14ac:dyDescent="0.3">
      <c r="A310" s="255"/>
      <c r="B310" s="22"/>
      <c r="C310" s="53" t="s">
        <v>210</v>
      </c>
      <c r="D310" s="256">
        <f>16*50/60</f>
        <v>13.333333333333334</v>
      </c>
      <c r="E310" s="256">
        <f>16*50/60</f>
        <v>13.333333333333334</v>
      </c>
      <c r="F310" s="256">
        <v>16</v>
      </c>
      <c r="G310" s="257">
        <v>16</v>
      </c>
    </row>
    <row r="311" spans="1:7" ht="11.15" customHeight="1" x14ac:dyDescent="0.3">
      <c r="A311" s="255"/>
      <c r="B311" s="22"/>
      <c r="C311" s="53" t="s">
        <v>154</v>
      </c>
      <c r="D311" s="256">
        <f>2*50/60</f>
        <v>1.6666666666666667</v>
      </c>
      <c r="E311" s="256">
        <f>2*50/60</f>
        <v>1.6666666666666667</v>
      </c>
      <c r="F311" s="256">
        <v>2</v>
      </c>
      <c r="G311" s="257">
        <v>2</v>
      </c>
    </row>
    <row r="312" spans="1:7" ht="11.15" customHeight="1" x14ac:dyDescent="0.3">
      <c r="A312" s="183">
        <v>132</v>
      </c>
      <c r="B312" s="22" t="s">
        <v>262</v>
      </c>
      <c r="C312" s="53" t="s">
        <v>152</v>
      </c>
      <c r="D312" s="256">
        <v>206</v>
      </c>
      <c r="E312" s="256">
        <v>165</v>
      </c>
      <c r="F312" s="407">
        <f>206*150/150</f>
        <v>206</v>
      </c>
      <c r="G312" s="408">
        <f>165*150/150</f>
        <v>165</v>
      </c>
    </row>
    <row r="313" spans="1:7" ht="11.15" customHeight="1" x14ac:dyDescent="0.3">
      <c r="A313" s="255"/>
      <c r="B313" s="403" t="s">
        <v>427</v>
      </c>
      <c r="C313" s="53" t="s">
        <v>113</v>
      </c>
      <c r="D313" s="256">
        <v>6</v>
      </c>
      <c r="E313" s="256">
        <v>6</v>
      </c>
      <c r="F313" s="407">
        <f>6*150/150</f>
        <v>6</v>
      </c>
      <c r="G313" s="408">
        <f>6*150/150</f>
        <v>6</v>
      </c>
    </row>
    <row r="314" spans="1:7" ht="11.15" customHeight="1" x14ac:dyDescent="0.3">
      <c r="A314" s="255"/>
      <c r="B314" s="22"/>
      <c r="C314" s="53" t="s">
        <v>115</v>
      </c>
      <c r="D314" s="256">
        <v>0</v>
      </c>
      <c r="E314" s="256">
        <v>0</v>
      </c>
      <c r="F314" s="407">
        <f>2*150/150</f>
        <v>2</v>
      </c>
      <c r="G314" s="408">
        <f>2*150/150</f>
        <v>2</v>
      </c>
    </row>
    <row r="315" spans="1:7" ht="11.15" customHeight="1" x14ac:dyDescent="0.3">
      <c r="A315" s="255"/>
      <c r="B315" s="22"/>
      <c r="C315" s="53" t="s">
        <v>64</v>
      </c>
      <c r="D315" s="256">
        <v>10</v>
      </c>
      <c r="E315" s="256">
        <v>8</v>
      </c>
      <c r="F315" s="407">
        <f>10*150/150</f>
        <v>10</v>
      </c>
      <c r="G315" s="408">
        <f>8*150/150</f>
        <v>8</v>
      </c>
    </row>
    <row r="316" spans="1:7" ht="11.15" customHeight="1" x14ac:dyDescent="0.3">
      <c r="A316" s="255"/>
      <c r="B316" s="22"/>
      <c r="C316" s="53" t="s">
        <v>194</v>
      </c>
      <c r="D316" s="256">
        <v>5</v>
      </c>
      <c r="E316" s="256">
        <v>3</v>
      </c>
      <c r="F316" s="407">
        <f>5*150/150</f>
        <v>5</v>
      </c>
      <c r="G316" s="408">
        <f>3*150/150</f>
        <v>3</v>
      </c>
    </row>
    <row r="317" spans="1:7" ht="11.15" customHeight="1" x14ac:dyDescent="0.3">
      <c r="A317" s="255"/>
      <c r="B317" s="22"/>
      <c r="C317" s="53" t="s">
        <v>62</v>
      </c>
      <c r="D317" s="256">
        <v>13</v>
      </c>
      <c r="E317" s="256">
        <v>11</v>
      </c>
      <c r="F317" s="407">
        <f>13*150/150</f>
        <v>13</v>
      </c>
      <c r="G317" s="408">
        <f>11*150/150</f>
        <v>11</v>
      </c>
    </row>
    <row r="318" spans="1:7" ht="11.15" customHeight="1" x14ac:dyDescent="0.3">
      <c r="A318" s="255"/>
      <c r="B318" s="22"/>
      <c r="C318" s="53" t="s">
        <v>119</v>
      </c>
      <c r="D318" s="256">
        <v>3</v>
      </c>
      <c r="E318" s="256">
        <v>3</v>
      </c>
      <c r="F318" s="408">
        <f>3*150/150</f>
        <v>3</v>
      </c>
      <c r="G318" s="408">
        <f>3*150/150</f>
        <v>3</v>
      </c>
    </row>
    <row r="319" spans="1:7" ht="11.15" customHeight="1" x14ac:dyDescent="0.3">
      <c r="A319" s="255"/>
      <c r="B319" s="22"/>
      <c r="C319" s="53" t="s">
        <v>57</v>
      </c>
      <c r="D319" s="256">
        <v>4</v>
      </c>
      <c r="E319" s="256">
        <v>4</v>
      </c>
      <c r="F319" s="407">
        <f>4*150/150</f>
        <v>4</v>
      </c>
      <c r="G319" s="408">
        <f>4*150/150</f>
        <v>4</v>
      </c>
    </row>
    <row r="320" spans="1:7" ht="11.15" customHeight="1" x14ac:dyDescent="0.3">
      <c r="A320" s="183">
        <v>398</v>
      </c>
      <c r="B320" s="22" t="s">
        <v>168</v>
      </c>
      <c r="C320" s="22" t="s">
        <v>140</v>
      </c>
      <c r="D320" s="256">
        <v>15</v>
      </c>
      <c r="E320" s="256">
        <f>100*150/1000</f>
        <v>15</v>
      </c>
      <c r="F320" s="256">
        <v>18</v>
      </c>
      <c r="G320" s="257">
        <f>180*100/1000</f>
        <v>18</v>
      </c>
    </row>
    <row r="321" spans="1:7" ht="11.15" customHeight="1" x14ac:dyDescent="0.3">
      <c r="A321" s="255"/>
      <c r="B321" s="22" t="s">
        <v>61</v>
      </c>
      <c r="C321" s="22" t="s">
        <v>57</v>
      </c>
      <c r="D321" s="256">
        <v>7</v>
      </c>
      <c r="E321" s="256">
        <v>7</v>
      </c>
      <c r="F321" s="256">
        <v>10</v>
      </c>
      <c r="G321" s="257">
        <v>10</v>
      </c>
    </row>
    <row r="322" spans="1:7" ht="11.15" customHeight="1" x14ac:dyDescent="0.3">
      <c r="A322" s="255"/>
      <c r="B322" s="22"/>
      <c r="C322" s="22" t="s">
        <v>56</v>
      </c>
      <c r="D322" s="256">
        <v>150</v>
      </c>
      <c r="E322" s="256">
        <v>150</v>
      </c>
      <c r="F322" s="256">
        <v>180</v>
      </c>
      <c r="G322" s="257">
        <v>180</v>
      </c>
    </row>
    <row r="323" spans="1:7" ht="11.15" customHeight="1" x14ac:dyDescent="0.3">
      <c r="A323" s="255"/>
      <c r="B323" s="22" t="s">
        <v>76</v>
      </c>
      <c r="C323" s="22" t="s">
        <v>76</v>
      </c>
      <c r="D323" s="256">
        <v>20</v>
      </c>
      <c r="E323" s="256">
        <v>20</v>
      </c>
      <c r="F323" s="256">
        <v>25</v>
      </c>
      <c r="G323" s="257">
        <v>25</v>
      </c>
    </row>
    <row r="324" spans="1:7" ht="11.15" customHeight="1" thickBot="1" x14ac:dyDescent="0.35">
      <c r="A324" s="96"/>
      <c r="B324" s="26" t="s">
        <v>18</v>
      </c>
      <c r="C324" s="26" t="s">
        <v>18</v>
      </c>
      <c r="D324" s="258">
        <v>17</v>
      </c>
      <c r="E324" s="258">
        <v>17</v>
      </c>
      <c r="F324" s="258">
        <v>21</v>
      </c>
      <c r="G324" s="259">
        <v>21</v>
      </c>
    </row>
    <row r="325" spans="1:7" ht="11.15" customHeight="1" x14ac:dyDescent="0.3">
      <c r="A325" s="270">
        <v>252</v>
      </c>
      <c r="B325" s="44" t="s">
        <v>460</v>
      </c>
      <c r="C325" s="44" t="s">
        <v>485</v>
      </c>
      <c r="D325" s="253">
        <v>40</v>
      </c>
      <c r="E325" s="253">
        <v>37</v>
      </c>
      <c r="F325" s="253">
        <v>53</v>
      </c>
      <c r="G325" s="254">
        <v>49</v>
      </c>
    </row>
    <row r="326" spans="1:7" ht="11.15" customHeight="1" x14ac:dyDescent="0.3">
      <c r="A326" s="255"/>
      <c r="B326" s="22" t="s">
        <v>362</v>
      </c>
      <c r="C326" s="22" t="s">
        <v>392</v>
      </c>
      <c r="D326" s="256">
        <f>182*E326/122</f>
        <v>55.196721311475407</v>
      </c>
      <c r="E326" s="306">
        <v>37</v>
      </c>
      <c r="F326" s="256">
        <f>182*G326/122</f>
        <v>73.098360655737707</v>
      </c>
      <c r="G326" s="294">
        <v>49</v>
      </c>
    </row>
    <row r="327" spans="1:7" ht="11.15" customHeight="1" x14ac:dyDescent="0.3">
      <c r="A327" s="255"/>
      <c r="B327" s="22"/>
      <c r="C327" s="22" t="s">
        <v>303</v>
      </c>
      <c r="D327" s="256">
        <f>107*E327/91</f>
        <v>43.505494505494504</v>
      </c>
      <c r="E327" s="306">
        <v>37</v>
      </c>
      <c r="F327" s="256">
        <f>107*G327/91</f>
        <v>57.615384615384613</v>
      </c>
      <c r="G327" s="294">
        <v>49</v>
      </c>
    </row>
    <row r="328" spans="1:7" ht="11.15" customHeight="1" x14ac:dyDescent="0.3">
      <c r="A328" s="255"/>
      <c r="B328" s="22" t="s">
        <v>302</v>
      </c>
      <c r="C328" s="22" t="s">
        <v>304</v>
      </c>
      <c r="D328" s="256">
        <f>152*E328/91</f>
        <v>61.802197802197803</v>
      </c>
      <c r="E328" s="306">
        <v>37</v>
      </c>
      <c r="F328" s="256">
        <f>152*G328/91</f>
        <v>81.84615384615384</v>
      </c>
      <c r="G328" s="294">
        <v>49</v>
      </c>
    </row>
    <row r="329" spans="1:7" ht="11.15" customHeight="1" x14ac:dyDescent="0.3">
      <c r="A329" s="255"/>
      <c r="B329" s="22"/>
      <c r="C329" s="22" t="s">
        <v>486</v>
      </c>
      <c r="D329" s="256"/>
      <c r="E329" s="285">
        <v>30</v>
      </c>
      <c r="F329" s="285"/>
      <c r="G329" s="286">
        <v>40</v>
      </c>
    </row>
    <row r="330" spans="1:7" ht="11.15" customHeight="1" x14ac:dyDescent="0.3">
      <c r="A330" s="255">
        <v>354</v>
      </c>
      <c r="B330" s="22" t="s">
        <v>402</v>
      </c>
      <c r="C330" s="22" t="s">
        <v>401</v>
      </c>
      <c r="D330" s="256"/>
      <c r="E330" s="256">
        <v>27</v>
      </c>
      <c r="F330" s="256"/>
      <c r="G330" s="257">
        <v>35</v>
      </c>
    </row>
    <row r="331" spans="1:7" ht="11.15" customHeight="1" x14ac:dyDescent="0.3">
      <c r="A331" s="255"/>
      <c r="B331" s="22"/>
      <c r="C331" s="22" t="s">
        <v>67</v>
      </c>
      <c r="D331" s="256">
        <f>250*E330/1000</f>
        <v>6.75</v>
      </c>
      <c r="E331" s="256">
        <f>250*E330/1000</f>
        <v>6.75</v>
      </c>
      <c r="F331" s="256">
        <f>250*G330/1000</f>
        <v>8.75</v>
      </c>
      <c r="G331" s="257">
        <f>250*G330/1000</f>
        <v>8.75</v>
      </c>
    </row>
    <row r="332" spans="1:7" ht="11.15" customHeight="1" x14ac:dyDescent="0.3">
      <c r="A332" s="255"/>
      <c r="B332" s="22"/>
      <c r="C332" s="22" t="s">
        <v>119</v>
      </c>
      <c r="D332" s="256">
        <f>75*E330/1000</f>
        <v>2.0249999999999999</v>
      </c>
      <c r="E332" s="256">
        <f>75*E330/1000</f>
        <v>2.0249999999999999</v>
      </c>
      <c r="F332" s="256">
        <f>75*G330/1000</f>
        <v>2.625</v>
      </c>
      <c r="G332" s="257">
        <f>75*G330/1000</f>
        <v>2.625</v>
      </c>
    </row>
    <row r="333" spans="1:7" ht="11.15" customHeight="1" x14ac:dyDescent="0.3">
      <c r="A333" s="255"/>
      <c r="B333" s="264"/>
      <c r="C333" s="53" t="s">
        <v>69</v>
      </c>
      <c r="D333" s="256">
        <f>750*E330/1000</f>
        <v>20.25</v>
      </c>
      <c r="E333" s="256">
        <f>750*E330/1000</f>
        <v>20.25</v>
      </c>
      <c r="F333" s="256">
        <f>750*G330/1000</f>
        <v>26.25</v>
      </c>
      <c r="G333" s="257">
        <f>750*G330/1000</f>
        <v>26.25</v>
      </c>
    </row>
    <row r="334" spans="1:7" ht="11.15" customHeight="1" x14ac:dyDescent="0.3">
      <c r="A334" s="255"/>
      <c r="B334" s="22"/>
      <c r="C334" s="53" t="s">
        <v>58</v>
      </c>
      <c r="D334" s="256">
        <f>8*E330/1000</f>
        <v>0.216</v>
      </c>
      <c r="E334" s="256">
        <f>8*E330/1000</f>
        <v>0.216</v>
      </c>
      <c r="F334" s="256">
        <f>8*G330/1000</f>
        <v>0.28000000000000003</v>
      </c>
      <c r="G334" s="257">
        <f>8*G330/1000</f>
        <v>0.28000000000000003</v>
      </c>
    </row>
    <row r="335" spans="1:7" ht="11.15" customHeight="1" x14ac:dyDescent="0.3">
      <c r="A335" s="255"/>
      <c r="B335" s="22"/>
      <c r="C335" s="53"/>
      <c r="D335" s="256"/>
      <c r="E335" s="256"/>
      <c r="F335" s="256"/>
      <c r="G335" s="257"/>
    </row>
    <row r="336" spans="1:7" ht="11.15" customHeight="1" x14ac:dyDescent="0.3">
      <c r="A336" s="255"/>
      <c r="B336" s="22"/>
      <c r="C336" s="53" t="s">
        <v>0</v>
      </c>
      <c r="D336" s="256">
        <v>3.2</v>
      </c>
      <c r="E336" s="256">
        <v>3</v>
      </c>
      <c r="F336" s="256">
        <v>4.3</v>
      </c>
      <c r="G336" s="257">
        <v>4</v>
      </c>
    </row>
    <row r="337" spans="1:7" ht="11.15" customHeight="1" x14ac:dyDescent="0.3">
      <c r="A337" s="255"/>
      <c r="B337" s="22"/>
      <c r="C337" s="53" t="s">
        <v>133</v>
      </c>
      <c r="D337" s="256">
        <v>5</v>
      </c>
      <c r="E337" s="256">
        <v>5</v>
      </c>
      <c r="F337" s="256">
        <v>7</v>
      </c>
      <c r="G337" s="257">
        <v>7</v>
      </c>
    </row>
    <row r="338" spans="1:7" ht="11.15" customHeight="1" x14ac:dyDescent="0.3">
      <c r="A338" s="255"/>
      <c r="B338" s="22"/>
      <c r="C338" s="53" t="s">
        <v>113</v>
      </c>
      <c r="D338" s="256">
        <v>2</v>
      </c>
      <c r="E338" s="256">
        <v>2</v>
      </c>
      <c r="F338" s="256">
        <v>3</v>
      </c>
      <c r="G338" s="257">
        <v>3</v>
      </c>
    </row>
    <row r="339" spans="1:7" ht="11.15" customHeight="1" x14ac:dyDescent="0.3">
      <c r="A339" s="255">
        <v>315</v>
      </c>
      <c r="B339" s="22" t="s">
        <v>461</v>
      </c>
      <c r="C339" s="53" t="s">
        <v>487</v>
      </c>
      <c r="D339" s="407">
        <f>357*110/1000</f>
        <v>39.270000000000003</v>
      </c>
      <c r="E339" s="407">
        <f>357*110/1000</f>
        <v>39.270000000000003</v>
      </c>
      <c r="F339" s="407">
        <f>357*130/1000</f>
        <v>46.41</v>
      </c>
      <c r="G339" s="408">
        <f>357*130/1000</f>
        <v>46.41</v>
      </c>
    </row>
    <row r="340" spans="1:7" ht="11.15" customHeight="1" x14ac:dyDescent="0.3">
      <c r="A340" s="255"/>
      <c r="B340" s="403" t="s">
        <v>524</v>
      </c>
      <c r="C340" s="53" t="s">
        <v>154</v>
      </c>
      <c r="D340" s="407">
        <f>45*110/1000</f>
        <v>4.95</v>
      </c>
      <c r="E340" s="407">
        <f>45*110/1000</f>
        <v>4.95</v>
      </c>
      <c r="F340" s="407">
        <f>45*130/1000</f>
        <v>5.85</v>
      </c>
      <c r="G340" s="408">
        <f>45*130/1000</f>
        <v>5.85</v>
      </c>
    </row>
    <row r="341" spans="1:7" ht="11.15" customHeight="1" x14ac:dyDescent="0.3">
      <c r="A341" s="255">
        <v>392</v>
      </c>
      <c r="B341" s="22" t="s">
        <v>215</v>
      </c>
      <c r="C341" s="22" t="s">
        <v>78</v>
      </c>
      <c r="D341" s="256">
        <v>0.2</v>
      </c>
      <c r="E341" s="256">
        <v>0.2</v>
      </c>
      <c r="F341" s="256">
        <v>0.3</v>
      </c>
      <c r="G341" s="257">
        <v>0.3</v>
      </c>
    </row>
    <row r="342" spans="1:7" ht="11.15" customHeight="1" x14ac:dyDescent="0.3">
      <c r="A342" s="255"/>
      <c r="B342" s="22" t="s">
        <v>61</v>
      </c>
      <c r="C342" s="22" t="s">
        <v>238</v>
      </c>
      <c r="D342" s="256">
        <v>15</v>
      </c>
      <c r="E342" s="256">
        <v>15</v>
      </c>
      <c r="F342" s="256">
        <v>30</v>
      </c>
      <c r="G342" s="257">
        <v>30</v>
      </c>
    </row>
    <row r="343" spans="1:7" ht="11.15" customHeight="1" x14ac:dyDescent="0.3">
      <c r="A343" s="255"/>
      <c r="B343" s="22"/>
      <c r="C343" s="22"/>
      <c r="D343" s="256"/>
      <c r="E343" s="256"/>
      <c r="F343" s="256"/>
      <c r="G343" s="257"/>
    </row>
    <row r="344" spans="1:7" ht="11.15" customHeight="1" thickBot="1" x14ac:dyDescent="0.35">
      <c r="A344" s="96"/>
      <c r="B344" s="26" t="s">
        <v>117</v>
      </c>
      <c r="C344" s="26" t="s">
        <v>157</v>
      </c>
      <c r="D344" s="258">
        <v>17</v>
      </c>
      <c r="E344" s="258">
        <v>17</v>
      </c>
      <c r="F344" s="258">
        <v>21</v>
      </c>
      <c r="G344" s="259">
        <v>21</v>
      </c>
    </row>
    <row r="345" spans="1:7" ht="32.5" customHeight="1" thickBot="1" x14ac:dyDescent="0.35">
      <c r="A345" s="100"/>
      <c r="B345" s="40"/>
      <c r="C345" s="40"/>
      <c r="D345" s="101"/>
      <c r="E345" s="101"/>
      <c r="F345" s="101"/>
      <c r="G345" s="103"/>
    </row>
    <row r="346" spans="1:7" ht="11.15" customHeight="1" x14ac:dyDescent="0.3">
      <c r="A346" s="95"/>
      <c r="B346" s="596" t="s">
        <v>5</v>
      </c>
      <c r="C346" s="44"/>
      <c r="D346" s="592" t="s">
        <v>72</v>
      </c>
      <c r="E346" s="592"/>
      <c r="F346" s="592" t="s">
        <v>73</v>
      </c>
      <c r="G346" s="593"/>
    </row>
    <row r="347" spans="1:7" ht="11.15" customHeight="1" thickBot="1" x14ac:dyDescent="0.35">
      <c r="A347" s="96" t="s">
        <v>148</v>
      </c>
      <c r="B347" s="597"/>
      <c r="C347" s="157"/>
      <c r="D347" s="158" t="s">
        <v>96</v>
      </c>
      <c r="E347" s="159" t="s">
        <v>48</v>
      </c>
      <c r="F347" s="158" t="s">
        <v>96</v>
      </c>
      <c r="G347" s="160" t="s">
        <v>48</v>
      </c>
    </row>
    <row r="348" spans="1:7" ht="11.15" customHeight="1" x14ac:dyDescent="0.3">
      <c r="A348" s="307">
        <v>185</v>
      </c>
      <c r="B348" s="97" t="s">
        <v>103</v>
      </c>
      <c r="C348" s="308" t="s">
        <v>53</v>
      </c>
      <c r="D348" s="426">
        <f>880*150/1000</f>
        <v>132</v>
      </c>
      <c r="E348" s="426">
        <f>880*150/1000</f>
        <v>132</v>
      </c>
      <c r="F348" s="426">
        <f>880*150/1000</f>
        <v>132</v>
      </c>
      <c r="G348" s="427">
        <f>880*150/1000</f>
        <v>132</v>
      </c>
    </row>
    <row r="349" spans="1:7" ht="11.15" customHeight="1" x14ac:dyDescent="0.3">
      <c r="A349" s="255"/>
      <c r="B349" s="411" t="s">
        <v>427</v>
      </c>
      <c r="C349" s="53" t="s">
        <v>153</v>
      </c>
      <c r="D349" s="407">
        <f>D348*0.12</f>
        <v>15.84</v>
      </c>
      <c r="E349" s="407">
        <f>E348*0.12</f>
        <v>15.84</v>
      </c>
      <c r="F349" s="407">
        <f>F348*0.12</f>
        <v>15.84</v>
      </c>
      <c r="G349" s="408">
        <f>G348*0.12</f>
        <v>15.84</v>
      </c>
    </row>
    <row r="350" spans="1:7" ht="11.15" customHeight="1" x14ac:dyDescent="0.3">
      <c r="A350" s="255"/>
      <c r="B350" s="22"/>
      <c r="C350" s="53" t="s">
        <v>268</v>
      </c>
      <c r="D350" s="407">
        <f>D348-D349</f>
        <v>116.16</v>
      </c>
      <c r="E350" s="407">
        <f>E348-E349</f>
        <v>116.16</v>
      </c>
      <c r="F350" s="407">
        <f>F348-F349</f>
        <v>116.16</v>
      </c>
      <c r="G350" s="408">
        <f>G348-G349</f>
        <v>116.16</v>
      </c>
    </row>
    <row r="351" spans="1:7" ht="11.15" customHeight="1" x14ac:dyDescent="0.3">
      <c r="A351" s="255"/>
      <c r="B351" s="22"/>
      <c r="C351" s="53" t="s">
        <v>390</v>
      </c>
      <c r="D351" s="407">
        <f>154*150/1000</f>
        <v>23.1</v>
      </c>
      <c r="E351" s="407">
        <f>154*150/1000</f>
        <v>23.1</v>
      </c>
      <c r="F351" s="407">
        <f>154*150/1000</f>
        <v>23.1</v>
      </c>
      <c r="G351" s="408">
        <f>154*150/1000</f>
        <v>23.1</v>
      </c>
    </row>
    <row r="352" spans="1:7" ht="11.15" customHeight="1" x14ac:dyDescent="0.3">
      <c r="A352" s="255"/>
      <c r="B352" s="22"/>
      <c r="C352" s="53" t="s">
        <v>57</v>
      </c>
      <c r="D352" s="407">
        <v>5</v>
      </c>
      <c r="E352" s="407">
        <v>5</v>
      </c>
      <c r="F352" s="407">
        <v>5</v>
      </c>
      <c r="G352" s="408">
        <v>5</v>
      </c>
    </row>
    <row r="353" spans="1:7" ht="11.15" customHeight="1" x14ac:dyDescent="0.3">
      <c r="A353" s="255"/>
      <c r="B353" s="22"/>
      <c r="C353" s="53" t="s">
        <v>58</v>
      </c>
      <c r="D353" s="256">
        <f>0.6*150/1000</f>
        <v>0.09</v>
      </c>
      <c r="E353" s="256">
        <f>0.6*150/1000</f>
        <v>0.09</v>
      </c>
      <c r="F353" s="256">
        <f>0.6*200/1000</f>
        <v>0.12</v>
      </c>
      <c r="G353" s="257">
        <f>0.6*200/1000</f>
        <v>0.12</v>
      </c>
    </row>
    <row r="354" spans="1:7" ht="11.15" customHeight="1" x14ac:dyDescent="0.3">
      <c r="A354" s="255"/>
      <c r="B354" s="22"/>
      <c r="C354" s="53" t="s">
        <v>154</v>
      </c>
      <c r="D354" s="256">
        <v>5</v>
      </c>
      <c r="E354" s="256">
        <v>5</v>
      </c>
      <c r="F354" s="256">
        <v>5</v>
      </c>
      <c r="G354" s="257">
        <v>5</v>
      </c>
    </row>
    <row r="355" spans="1:7" ht="11.15" customHeight="1" x14ac:dyDescent="0.3">
      <c r="A355" s="183">
        <v>3</v>
      </c>
      <c r="B355" s="22" t="s">
        <v>473</v>
      </c>
      <c r="C355" s="22" t="s">
        <v>474</v>
      </c>
      <c r="D355" s="256">
        <v>24</v>
      </c>
      <c r="E355" s="256">
        <v>24</v>
      </c>
      <c r="F355" s="256">
        <v>30</v>
      </c>
      <c r="G355" s="257">
        <v>30</v>
      </c>
    </row>
    <row r="356" spans="1:7" ht="11.15" customHeight="1" x14ac:dyDescent="0.3">
      <c r="A356" s="255"/>
      <c r="B356" s="403" t="s">
        <v>559</v>
      </c>
      <c r="C356" s="22"/>
      <c r="D356" s="256"/>
      <c r="E356" s="256"/>
      <c r="F356" s="256"/>
      <c r="G356" s="257"/>
    </row>
    <row r="357" spans="1:7" ht="11.15" customHeight="1" x14ac:dyDescent="0.3">
      <c r="A357" s="255"/>
      <c r="B357" s="22"/>
      <c r="C357" s="22"/>
      <c r="D357" s="407"/>
      <c r="E357" s="407"/>
      <c r="F357" s="256"/>
      <c r="G357" s="257"/>
    </row>
    <row r="358" spans="1:7" ht="11.15" customHeight="1" x14ac:dyDescent="0.3">
      <c r="A358" s="183">
        <v>397</v>
      </c>
      <c r="B358" s="22" t="s">
        <v>55</v>
      </c>
      <c r="C358" s="309" t="s">
        <v>290</v>
      </c>
      <c r="D358" s="256">
        <v>2</v>
      </c>
      <c r="E358" s="256">
        <v>2</v>
      </c>
      <c r="F358" s="256">
        <v>2</v>
      </c>
      <c r="G358" s="257">
        <v>2</v>
      </c>
    </row>
    <row r="359" spans="1:7" ht="11.15" customHeight="1" x14ac:dyDescent="0.3">
      <c r="A359" s="255"/>
      <c r="B359" s="22"/>
      <c r="C359" s="309" t="s">
        <v>57</v>
      </c>
      <c r="D359" s="256">
        <v>8</v>
      </c>
      <c r="E359" s="256">
        <v>8</v>
      </c>
      <c r="F359" s="256">
        <v>10</v>
      </c>
      <c r="G359" s="257">
        <v>10</v>
      </c>
    </row>
    <row r="360" spans="1:7" ht="11.15" customHeight="1" x14ac:dyDescent="0.3">
      <c r="A360" s="255"/>
      <c r="B360" s="22"/>
      <c r="C360" s="53" t="s">
        <v>53</v>
      </c>
      <c r="D360" s="256">
        <v>92</v>
      </c>
      <c r="E360" s="256">
        <v>92</v>
      </c>
      <c r="F360" s="256">
        <v>110</v>
      </c>
      <c r="G360" s="257">
        <v>110</v>
      </c>
    </row>
    <row r="361" spans="1:7" ht="11.15" customHeight="1" thickBot="1" x14ac:dyDescent="0.35">
      <c r="A361" s="96"/>
      <c r="B361" s="26"/>
      <c r="C361" s="67" t="s">
        <v>56</v>
      </c>
      <c r="D361" s="258">
        <v>65</v>
      </c>
      <c r="E361" s="258">
        <v>65</v>
      </c>
      <c r="F361" s="258">
        <v>80</v>
      </c>
      <c r="G361" s="259">
        <v>80</v>
      </c>
    </row>
    <row r="362" spans="1:7" ht="11.15" customHeight="1" thickBot="1" x14ac:dyDescent="0.35">
      <c r="A362" s="104">
        <v>399</v>
      </c>
      <c r="B362" s="310" t="s">
        <v>536</v>
      </c>
      <c r="C362" s="311" t="s">
        <v>49</v>
      </c>
      <c r="D362" s="312">
        <v>200</v>
      </c>
      <c r="E362" s="138">
        <v>200</v>
      </c>
      <c r="F362" s="428">
        <v>180</v>
      </c>
      <c r="G362" s="428">
        <v>180</v>
      </c>
    </row>
    <row r="363" spans="1:7" ht="11.15" customHeight="1" x14ac:dyDescent="0.3">
      <c r="A363" s="270">
        <v>47</v>
      </c>
      <c r="B363" s="44" t="s">
        <v>373</v>
      </c>
      <c r="C363" s="44" t="s">
        <v>185</v>
      </c>
      <c r="D363" s="253">
        <f>E363*1.33</f>
        <v>26.932500000000001</v>
      </c>
      <c r="E363" s="253">
        <f>450*45/1000</f>
        <v>20.25</v>
      </c>
      <c r="F363" s="253">
        <f>G363*1.33</f>
        <v>35.910000000000004</v>
      </c>
      <c r="G363" s="254">
        <f>450*60/1000</f>
        <v>27</v>
      </c>
    </row>
    <row r="364" spans="1:7" ht="11.15" customHeight="1" x14ac:dyDescent="0.3">
      <c r="A364" s="255" t="s">
        <v>150</v>
      </c>
      <c r="B364" s="22" t="s">
        <v>223</v>
      </c>
      <c r="C364" s="22" t="s">
        <v>186</v>
      </c>
      <c r="D364" s="256">
        <f>E364*1.43</f>
        <v>28.9575</v>
      </c>
      <c r="E364" s="256">
        <f>450*45/1000</f>
        <v>20.25</v>
      </c>
      <c r="F364" s="256">
        <f>G364*1.43</f>
        <v>38.61</v>
      </c>
      <c r="G364" s="257">
        <f>450*60/1000</f>
        <v>27</v>
      </c>
    </row>
    <row r="365" spans="1:7" ht="11.15" customHeight="1" x14ac:dyDescent="0.3">
      <c r="A365" s="255"/>
      <c r="B365" s="22"/>
      <c r="C365" s="22" t="s">
        <v>187</v>
      </c>
      <c r="D365" s="256">
        <f>E365*1.54</f>
        <v>31.185000000000002</v>
      </c>
      <c r="E365" s="256">
        <f>450*45/1000</f>
        <v>20.25</v>
      </c>
      <c r="F365" s="256">
        <f>G365*1.54</f>
        <v>41.58</v>
      </c>
      <c r="G365" s="257">
        <f>450*60/1000</f>
        <v>27</v>
      </c>
    </row>
    <row r="366" spans="1:7" ht="11.15" customHeight="1" x14ac:dyDescent="0.3">
      <c r="A366" s="255"/>
      <c r="B366" s="22"/>
      <c r="C366" s="22" t="s">
        <v>188</v>
      </c>
      <c r="D366" s="256">
        <f>E366*1.67</f>
        <v>33.817499999999995</v>
      </c>
      <c r="E366" s="256">
        <f>450*45/1000</f>
        <v>20.25</v>
      </c>
      <c r="F366" s="256">
        <f>G366*1.67</f>
        <v>45.089999999999996</v>
      </c>
      <c r="G366" s="257">
        <f>450*60/1000</f>
        <v>27</v>
      </c>
    </row>
    <row r="367" spans="1:7" ht="11.15" customHeight="1" x14ac:dyDescent="0.3">
      <c r="A367" s="255"/>
      <c r="B367" s="22"/>
      <c r="C367" s="53" t="s">
        <v>537</v>
      </c>
      <c r="D367" s="256">
        <f>202*45/1000</f>
        <v>9.09</v>
      </c>
      <c r="E367" s="256">
        <f>202*45/1000</f>
        <v>9.09</v>
      </c>
      <c r="F367" s="256">
        <f>202*60/1000</f>
        <v>12.12</v>
      </c>
      <c r="G367" s="257">
        <f>200*60/1000</f>
        <v>12</v>
      </c>
    </row>
    <row r="368" spans="1:7" ht="11.15" customHeight="1" x14ac:dyDescent="0.3">
      <c r="A368" s="255"/>
      <c r="B368" s="22"/>
      <c r="C368" s="53" t="s">
        <v>114</v>
      </c>
      <c r="D368" s="256">
        <f>166*45/1000</f>
        <v>7.47</v>
      </c>
      <c r="E368" s="256">
        <f>130*45/1000</f>
        <v>5.85</v>
      </c>
      <c r="F368" s="256">
        <f>166*60/1000</f>
        <v>9.9600000000000009</v>
      </c>
      <c r="G368" s="257">
        <f>130*60/1000</f>
        <v>7.8</v>
      </c>
    </row>
    <row r="369" spans="1:7" ht="11.15" customHeight="1" x14ac:dyDescent="0.3">
      <c r="A369" s="255"/>
      <c r="B369" s="22"/>
      <c r="C369" s="53" t="s">
        <v>64</v>
      </c>
      <c r="D369" s="256">
        <f>E369*1.25</f>
        <v>6.1875</v>
      </c>
      <c r="E369" s="256">
        <f>110*45/1000</f>
        <v>4.95</v>
      </c>
      <c r="F369" s="256">
        <f>G369*1.25</f>
        <v>8.25</v>
      </c>
      <c r="G369" s="257">
        <f>110*60/1000</f>
        <v>6.6</v>
      </c>
    </row>
    <row r="370" spans="1:7" ht="11.15" customHeight="1" x14ac:dyDescent="0.3">
      <c r="A370" s="255"/>
      <c r="B370" s="22"/>
      <c r="C370" s="53" t="s">
        <v>62</v>
      </c>
      <c r="D370" s="256">
        <f>83*45/1000</f>
        <v>3.7349999999999999</v>
      </c>
      <c r="E370" s="256">
        <f>70*45/1000</f>
        <v>3.15</v>
      </c>
      <c r="F370" s="256">
        <f>83*60/1000</f>
        <v>4.9800000000000004</v>
      </c>
      <c r="G370" s="257">
        <f>70*60/1000</f>
        <v>4.2</v>
      </c>
    </row>
    <row r="371" spans="1:7" ht="11.15" customHeight="1" x14ac:dyDescent="0.3">
      <c r="A371" s="255"/>
      <c r="B371" s="22"/>
      <c r="C371" s="22" t="s">
        <v>113</v>
      </c>
      <c r="D371" s="256">
        <f>50*45/1000</f>
        <v>2.25</v>
      </c>
      <c r="E371" s="256">
        <f>50*45/1000</f>
        <v>2.25</v>
      </c>
      <c r="F371" s="256">
        <f>50*60/1000</f>
        <v>3</v>
      </c>
      <c r="G371" s="257">
        <f>50*60/1000</f>
        <v>3</v>
      </c>
    </row>
    <row r="372" spans="1:7" ht="11.15" customHeight="1" x14ac:dyDescent="0.3">
      <c r="A372" s="183">
        <v>83</v>
      </c>
      <c r="B372" s="22" t="s">
        <v>312</v>
      </c>
      <c r="C372" s="22" t="s">
        <v>185</v>
      </c>
      <c r="D372" s="407">
        <f>E372*1.33</f>
        <v>95.76</v>
      </c>
      <c r="E372" s="407">
        <f>400*180/1000</f>
        <v>72</v>
      </c>
      <c r="F372" s="407">
        <f>G372*1.33</f>
        <v>95.76</v>
      </c>
      <c r="G372" s="408">
        <f>400*180/1000</f>
        <v>72</v>
      </c>
    </row>
    <row r="373" spans="1:7" ht="11.15" customHeight="1" x14ac:dyDescent="0.3">
      <c r="A373" s="255"/>
      <c r="B373" s="413" t="s">
        <v>538</v>
      </c>
      <c r="C373" s="22" t="s">
        <v>186</v>
      </c>
      <c r="D373" s="407">
        <f>E373*1.43</f>
        <v>102.96</v>
      </c>
      <c r="E373" s="407">
        <f>400*180/1000</f>
        <v>72</v>
      </c>
      <c r="F373" s="407">
        <f>G373*1.43</f>
        <v>102.96</v>
      </c>
      <c r="G373" s="408">
        <f>400*180/1000</f>
        <v>72</v>
      </c>
    </row>
    <row r="374" spans="1:7" ht="11.15" customHeight="1" x14ac:dyDescent="0.3">
      <c r="A374" s="255"/>
      <c r="B374" s="22"/>
      <c r="C374" s="22" t="s">
        <v>187</v>
      </c>
      <c r="D374" s="407">
        <f>E374*1.54</f>
        <v>110.88</v>
      </c>
      <c r="E374" s="407">
        <f>400*180/1000</f>
        <v>72</v>
      </c>
      <c r="F374" s="407">
        <f>G374*1.54</f>
        <v>110.88</v>
      </c>
      <c r="G374" s="408">
        <f>400*180/1000</f>
        <v>72</v>
      </c>
    </row>
    <row r="375" spans="1:7" ht="11.15" customHeight="1" x14ac:dyDescent="0.3">
      <c r="A375" s="255"/>
      <c r="B375" s="22"/>
      <c r="C375" s="22" t="s">
        <v>188</v>
      </c>
      <c r="D375" s="407">
        <f>E375*1.67</f>
        <v>120.24</v>
      </c>
      <c r="E375" s="407">
        <f>400*180/1000</f>
        <v>72</v>
      </c>
      <c r="F375" s="407">
        <f>G375*1.67</f>
        <v>120.24</v>
      </c>
      <c r="G375" s="408">
        <f>400*180/1000</f>
        <v>72</v>
      </c>
    </row>
    <row r="376" spans="1:7" ht="11.15" customHeight="1" x14ac:dyDescent="0.3">
      <c r="A376" s="255"/>
      <c r="B376" s="22"/>
      <c r="C376" s="53" t="s">
        <v>64</v>
      </c>
      <c r="D376" s="407">
        <f>50*180/1000</f>
        <v>9</v>
      </c>
      <c r="E376" s="407">
        <f>40*180/1000</f>
        <v>7.2</v>
      </c>
      <c r="F376" s="407">
        <f>50*180/1000</f>
        <v>9</v>
      </c>
      <c r="G376" s="408">
        <f>40*180/1000</f>
        <v>7.2</v>
      </c>
    </row>
    <row r="377" spans="1:7" ht="11.15" customHeight="1" x14ac:dyDescent="0.3">
      <c r="A377" s="255"/>
      <c r="B377" s="22"/>
      <c r="C377" s="53" t="s">
        <v>62</v>
      </c>
      <c r="D377" s="407">
        <f>48*180/1000</f>
        <v>8.64</v>
      </c>
      <c r="E377" s="407">
        <f>40*180/1000</f>
        <v>7.2</v>
      </c>
      <c r="F377" s="407">
        <f>48*180/1000</f>
        <v>8.64</v>
      </c>
      <c r="G377" s="408">
        <f>40*180/1000</f>
        <v>7.2</v>
      </c>
    </row>
    <row r="378" spans="1:7" ht="11.15" customHeight="1" x14ac:dyDescent="0.3">
      <c r="A378" s="255"/>
      <c r="B378" s="22"/>
      <c r="C378" s="53" t="s">
        <v>115</v>
      </c>
      <c r="D378" s="407">
        <v>0</v>
      </c>
      <c r="E378" s="407">
        <v>0</v>
      </c>
      <c r="F378" s="407">
        <f>4*180/1000</f>
        <v>0.72</v>
      </c>
      <c r="G378" s="408">
        <f>4*180/1000</f>
        <v>0.72</v>
      </c>
    </row>
    <row r="379" spans="1:7" ht="11.15" customHeight="1" x14ac:dyDescent="0.3">
      <c r="A379" s="255"/>
      <c r="B379" s="22"/>
      <c r="C379" s="53" t="s">
        <v>113</v>
      </c>
      <c r="D379" s="407">
        <f>10*180/1000</f>
        <v>1.8</v>
      </c>
      <c r="E379" s="407">
        <f>10*200/1000</f>
        <v>2</v>
      </c>
      <c r="F379" s="407">
        <f>10*180/1000</f>
        <v>1.8</v>
      </c>
      <c r="G379" s="408">
        <f>10*180/1000</f>
        <v>1.8</v>
      </c>
    </row>
    <row r="380" spans="1:7" ht="11.15" customHeight="1" x14ac:dyDescent="0.3">
      <c r="A380" s="279">
        <v>121</v>
      </c>
      <c r="B380" s="22" t="s">
        <v>317</v>
      </c>
      <c r="C380" s="53" t="s">
        <v>155</v>
      </c>
      <c r="D380" s="256">
        <f>E380*1.15</f>
        <v>26.22</v>
      </c>
      <c r="E380" s="256">
        <f>1140*20/1000</f>
        <v>22.8</v>
      </c>
      <c r="F380" s="256">
        <f>G380*1.15</f>
        <v>32.774999999999999</v>
      </c>
      <c r="G380" s="257">
        <f>1140*25/1000</f>
        <v>28.5</v>
      </c>
    </row>
    <row r="381" spans="1:7" ht="11.15" customHeight="1" x14ac:dyDescent="0.3">
      <c r="A381" s="279"/>
      <c r="B381" s="22"/>
      <c r="C381" s="22" t="s">
        <v>62</v>
      </c>
      <c r="D381" s="256">
        <f>119*20/1000</f>
        <v>2.38</v>
      </c>
      <c r="E381" s="256">
        <f>100*20/1000</f>
        <v>2</v>
      </c>
      <c r="F381" s="256">
        <f>119*25/1000</f>
        <v>2.9750000000000001</v>
      </c>
      <c r="G381" s="257">
        <f>100*25/1000</f>
        <v>2.5</v>
      </c>
    </row>
    <row r="382" spans="1:7" ht="11.15" customHeight="1" x14ac:dyDescent="0.3">
      <c r="A382" s="279"/>
      <c r="B382" s="22"/>
      <c r="C382" s="22" t="s">
        <v>133</v>
      </c>
      <c r="D382" s="256">
        <f>80*20/1000</f>
        <v>1.6</v>
      </c>
      <c r="E382" s="256">
        <f>80*20/1000</f>
        <v>1.6</v>
      </c>
      <c r="F382" s="256">
        <f>80*25/1000</f>
        <v>2</v>
      </c>
      <c r="G382" s="257">
        <f>80*25/1000</f>
        <v>2</v>
      </c>
    </row>
    <row r="383" spans="1:7" ht="11.15" customHeight="1" x14ac:dyDescent="0.3">
      <c r="A383" s="279"/>
      <c r="B383" s="22"/>
      <c r="C383" s="22" t="s">
        <v>56</v>
      </c>
      <c r="D383" s="256">
        <f>100*20/1000</f>
        <v>2</v>
      </c>
      <c r="E383" s="256">
        <f>100*20/1000</f>
        <v>2</v>
      </c>
      <c r="F383" s="256">
        <f>100*25/1000</f>
        <v>2.5</v>
      </c>
      <c r="G383" s="257">
        <f>100*25/1000</f>
        <v>2.5</v>
      </c>
    </row>
    <row r="384" spans="1:7" ht="11.15" customHeight="1" x14ac:dyDescent="0.3">
      <c r="A384" s="279"/>
      <c r="B384" s="264"/>
      <c r="C384" s="22" t="s">
        <v>58</v>
      </c>
      <c r="D384" s="256">
        <f>9*20/1000</f>
        <v>0.18</v>
      </c>
      <c r="E384" s="256">
        <f>9*20/1000</f>
        <v>0.18</v>
      </c>
      <c r="F384" s="256">
        <f>9*25/1000</f>
        <v>0.22500000000000001</v>
      </c>
      <c r="G384" s="257">
        <f>9*25/1000</f>
        <v>0.22500000000000001</v>
      </c>
    </row>
    <row r="385" spans="1:7" ht="11.15" customHeight="1" x14ac:dyDescent="0.3">
      <c r="A385" s="279"/>
      <c r="B385" s="22"/>
      <c r="C385" s="284" t="s">
        <v>318</v>
      </c>
      <c r="D385" s="285">
        <f>1430*20/1000</f>
        <v>28.6</v>
      </c>
      <c r="E385" s="285">
        <f>1430*20/1000</f>
        <v>28.6</v>
      </c>
      <c r="F385" s="285">
        <f>1430*25/1000</f>
        <v>35.75</v>
      </c>
      <c r="G385" s="286">
        <f>1430*25/1000</f>
        <v>35.75</v>
      </c>
    </row>
    <row r="386" spans="1:7" ht="11.15" customHeight="1" x14ac:dyDescent="0.3">
      <c r="A386" s="183">
        <v>304</v>
      </c>
      <c r="B386" s="255" t="s">
        <v>307</v>
      </c>
      <c r="C386" s="53" t="s">
        <v>237</v>
      </c>
      <c r="D386" s="256">
        <f>177*50/60</f>
        <v>147.5</v>
      </c>
      <c r="E386" s="256">
        <f>157*50/60</f>
        <v>130.83333333333334</v>
      </c>
      <c r="F386" s="256">
        <f>177*50/60</f>
        <v>147.5</v>
      </c>
      <c r="G386" s="257">
        <f>157*50/60</f>
        <v>130.83333333333334</v>
      </c>
    </row>
    <row r="387" spans="1:7" ht="11.15" customHeight="1" x14ac:dyDescent="0.3">
      <c r="A387" s="255"/>
      <c r="B387" s="22"/>
      <c r="C387" s="53" t="s">
        <v>283</v>
      </c>
      <c r="D387" s="256">
        <f>119*50/60</f>
        <v>99.166666666666671</v>
      </c>
      <c r="E387" s="256">
        <f>82*50/60</f>
        <v>68.333333333333329</v>
      </c>
      <c r="F387" s="256">
        <f>119*50/60</f>
        <v>99.166666666666671</v>
      </c>
      <c r="G387" s="257">
        <f>82*50/60</f>
        <v>68.333333333333329</v>
      </c>
    </row>
    <row r="388" spans="1:7" ht="11.15" customHeight="1" x14ac:dyDescent="0.3">
      <c r="A388" s="255"/>
      <c r="B388" s="22" t="s">
        <v>417</v>
      </c>
      <c r="C388" s="53" t="s">
        <v>393</v>
      </c>
      <c r="D388" s="256">
        <f>84*50/60</f>
        <v>70</v>
      </c>
      <c r="E388" s="256">
        <f>82*50/60</f>
        <v>68.333333333333329</v>
      </c>
      <c r="F388" s="256">
        <f>84*50/60</f>
        <v>70</v>
      </c>
      <c r="G388" s="257">
        <f>82*50/60</f>
        <v>68.333333333333329</v>
      </c>
    </row>
    <row r="389" spans="1:7" ht="11.15" customHeight="1" x14ac:dyDescent="0.3">
      <c r="A389" s="255"/>
      <c r="B389" s="53"/>
      <c r="C389" s="284" t="s">
        <v>394</v>
      </c>
      <c r="D389" s="285"/>
      <c r="E389" s="285">
        <v>50</v>
      </c>
      <c r="F389" s="285"/>
      <c r="G389" s="286">
        <v>50</v>
      </c>
    </row>
    <row r="390" spans="1:7" ht="11.15" customHeight="1" x14ac:dyDescent="0.3">
      <c r="A390" s="255"/>
      <c r="B390" s="53"/>
      <c r="C390" s="53" t="s">
        <v>154</v>
      </c>
      <c r="D390" s="256">
        <v>6</v>
      </c>
      <c r="E390" s="256">
        <v>6</v>
      </c>
      <c r="F390" s="256">
        <v>8</v>
      </c>
      <c r="G390" s="257">
        <v>8</v>
      </c>
    </row>
    <row r="391" spans="1:7" ht="11.15" customHeight="1" x14ac:dyDescent="0.3">
      <c r="A391" s="255"/>
      <c r="B391" s="53"/>
      <c r="C391" s="53" t="s">
        <v>64</v>
      </c>
      <c r="D391" s="280">
        <v>16</v>
      </c>
      <c r="E391" s="280">
        <v>13</v>
      </c>
      <c r="F391" s="280">
        <v>16</v>
      </c>
      <c r="G391" s="281">
        <v>13</v>
      </c>
    </row>
    <row r="392" spans="1:7" ht="11.15" customHeight="1" x14ac:dyDescent="0.3">
      <c r="A392" s="183"/>
      <c r="B392" s="22"/>
      <c r="C392" s="22" t="s">
        <v>62</v>
      </c>
      <c r="D392" s="256">
        <v>8</v>
      </c>
      <c r="E392" s="256">
        <v>7</v>
      </c>
      <c r="F392" s="256">
        <v>11</v>
      </c>
      <c r="G392" s="257">
        <v>9</v>
      </c>
    </row>
    <row r="393" spans="1:7" ht="11.15" customHeight="1" x14ac:dyDescent="0.3">
      <c r="A393" s="255"/>
      <c r="B393" s="53"/>
      <c r="C393" s="22" t="s">
        <v>115</v>
      </c>
      <c r="D393" s="256">
        <v>0</v>
      </c>
      <c r="E393" s="256">
        <v>0</v>
      </c>
      <c r="F393" s="256">
        <f>7*0.4</f>
        <v>2.8000000000000003</v>
      </c>
      <c r="G393" s="257">
        <f>7*0.4</f>
        <v>2.8000000000000003</v>
      </c>
    </row>
    <row r="394" spans="1:7" ht="11.15" customHeight="1" x14ac:dyDescent="0.3">
      <c r="A394" s="255"/>
      <c r="B394" s="53"/>
      <c r="C394" s="22" t="s">
        <v>118</v>
      </c>
      <c r="D394" s="256">
        <v>35</v>
      </c>
      <c r="E394" s="256">
        <v>35</v>
      </c>
      <c r="F394" s="256">
        <v>46</v>
      </c>
      <c r="G394" s="257">
        <v>46</v>
      </c>
    </row>
    <row r="395" spans="1:7" ht="11.15" customHeight="1" x14ac:dyDescent="0.3">
      <c r="A395" s="183">
        <v>372</v>
      </c>
      <c r="B395" s="255" t="s">
        <v>374</v>
      </c>
      <c r="C395" s="22" t="s">
        <v>195</v>
      </c>
      <c r="D395" s="256">
        <f>227*150/1000</f>
        <v>34.049999999999997</v>
      </c>
      <c r="E395" s="256">
        <f>200*150/1000</f>
        <v>30</v>
      </c>
      <c r="F395" s="256">
        <f>227*180/1000</f>
        <v>40.86</v>
      </c>
      <c r="G395" s="257">
        <f>200*180/1000</f>
        <v>36</v>
      </c>
    </row>
    <row r="396" spans="1:7" ht="11.15" customHeight="1" x14ac:dyDescent="0.3">
      <c r="A396" s="255"/>
      <c r="B396" s="22"/>
      <c r="C396" s="22" t="s">
        <v>57</v>
      </c>
      <c r="D396" s="256">
        <f>100*150/1000</f>
        <v>15</v>
      </c>
      <c r="E396" s="256">
        <f>100*150/1000</f>
        <v>15</v>
      </c>
      <c r="F396" s="256">
        <f>100*180/1000</f>
        <v>18</v>
      </c>
      <c r="G396" s="257">
        <f>100*180/1000</f>
        <v>18</v>
      </c>
    </row>
    <row r="397" spans="1:7" ht="11.15" customHeight="1" x14ac:dyDescent="0.3">
      <c r="A397" s="255"/>
      <c r="B397" s="22"/>
      <c r="C397" s="22" t="s">
        <v>56</v>
      </c>
      <c r="D397" s="256">
        <f>830*150/1000</f>
        <v>124.5</v>
      </c>
      <c r="E397" s="256">
        <f>830*150/1000</f>
        <v>124.5</v>
      </c>
      <c r="F397" s="256">
        <f>830*180/1000</f>
        <v>149.4</v>
      </c>
      <c r="G397" s="257">
        <f>830*180/1000</f>
        <v>149.4</v>
      </c>
    </row>
    <row r="398" spans="1:7" ht="11.15" customHeight="1" x14ac:dyDescent="0.3">
      <c r="A398" s="255">
        <v>1</v>
      </c>
      <c r="B398" s="22" t="s">
        <v>76</v>
      </c>
      <c r="C398" s="53" t="s">
        <v>50</v>
      </c>
      <c r="D398" s="256">
        <v>20</v>
      </c>
      <c r="E398" s="256">
        <v>20</v>
      </c>
      <c r="F398" s="256">
        <v>25</v>
      </c>
      <c r="G398" s="257">
        <v>25</v>
      </c>
    </row>
    <row r="399" spans="1:7" ht="11.15" customHeight="1" thickBot="1" x14ac:dyDescent="0.35">
      <c r="A399" s="96">
        <v>1</v>
      </c>
      <c r="B399" s="26" t="s">
        <v>18</v>
      </c>
      <c r="C399" s="67" t="s">
        <v>157</v>
      </c>
      <c r="D399" s="258">
        <v>17</v>
      </c>
      <c r="E399" s="258">
        <v>17</v>
      </c>
      <c r="F399" s="258">
        <v>21</v>
      </c>
      <c r="G399" s="259">
        <v>21</v>
      </c>
    </row>
    <row r="400" spans="1:7" ht="11.15" customHeight="1" x14ac:dyDescent="0.3">
      <c r="A400" s="270">
        <v>205</v>
      </c>
      <c r="B400" s="44" t="s">
        <v>371</v>
      </c>
      <c r="C400" s="44" t="s">
        <v>156</v>
      </c>
      <c r="D400" s="429">
        <f>350*120/1000</f>
        <v>42</v>
      </c>
      <c r="E400" s="429">
        <f>350*120/1000</f>
        <v>42</v>
      </c>
      <c r="F400" s="429">
        <f>350*130/1000</f>
        <v>45.5</v>
      </c>
      <c r="G400" s="430">
        <f>350*130/1000</f>
        <v>45.5</v>
      </c>
    </row>
    <row r="401" spans="1:7" ht="11.15" customHeight="1" x14ac:dyDescent="0.3">
      <c r="A401" s="183"/>
      <c r="B401" s="403" t="s">
        <v>539</v>
      </c>
      <c r="C401" s="22" t="s">
        <v>154</v>
      </c>
      <c r="D401" s="403">
        <v>5</v>
      </c>
      <c r="E401" s="407">
        <v>5</v>
      </c>
      <c r="F401" s="403">
        <v>5</v>
      </c>
      <c r="G401" s="408">
        <v>5</v>
      </c>
    </row>
    <row r="402" spans="1:7" ht="11.15" customHeight="1" x14ac:dyDescent="0.3">
      <c r="A402" s="183">
        <v>269</v>
      </c>
      <c r="B402" s="22" t="s">
        <v>376</v>
      </c>
      <c r="C402" s="22" t="s">
        <v>301</v>
      </c>
      <c r="D402" s="256">
        <v>54</v>
      </c>
      <c r="E402" s="256">
        <v>51</v>
      </c>
      <c r="F402" s="256">
        <v>72</v>
      </c>
      <c r="G402" s="257">
        <v>67</v>
      </c>
    </row>
    <row r="403" spans="1:7" ht="11.15" customHeight="1" x14ac:dyDescent="0.3">
      <c r="A403" s="255"/>
      <c r="B403" s="22"/>
      <c r="C403" s="22" t="s">
        <v>392</v>
      </c>
      <c r="D403" s="256">
        <f>182*E403/122</f>
        <v>73.098360655737707</v>
      </c>
      <c r="E403" s="256">
        <v>49</v>
      </c>
      <c r="F403" s="256">
        <f>182*G403/122</f>
        <v>96.967213114754102</v>
      </c>
      <c r="G403" s="257">
        <v>65</v>
      </c>
    </row>
    <row r="404" spans="1:7" ht="11.15" customHeight="1" x14ac:dyDescent="0.3">
      <c r="A404" s="255"/>
      <c r="B404" s="22" t="s">
        <v>395</v>
      </c>
      <c r="C404" s="22" t="s">
        <v>303</v>
      </c>
      <c r="D404" s="256">
        <f>107*E404/91</f>
        <v>57.615384615384613</v>
      </c>
      <c r="E404" s="256">
        <v>49</v>
      </c>
      <c r="F404" s="256">
        <f>107*G404/91</f>
        <v>76.428571428571431</v>
      </c>
      <c r="G404" s="257">
        <v>65</v>
      </c>
    </row>
    <row r="405" spans="1:7" ht="11.15" customHeight="1" x14ac:dyDescent="0.3">
      <c r="A405" s="255"/>
      <c r="B405" s="22"/>
      <c r="C405" s="22" t="s">
        <v>304</v>
      </c>
      <c r="D405" s="256">
        <f>152*E405/91</f>
        <v>81.84615384615384</v>
      </c>
      <c r="E405" s="256">
        <v>49</v>
      </c>
      <c r="F405" s="256">
        <f>152*G405/91</f>
        <v>108.57142857142857</v>
      </c>
      <c r="G405" s="257">
        <v>65</v>
      </c>
    </row>
    <row r="406" spans="1:7" ht="11.15" customHeight="1" x14ac:dyDescent="0.3">
      <c r="A406" s="255"/>
      <c r="B406" s="22" t="s">
        <v>396</v>
      </c>
      <c r="C406" s="284" t="s">
        <v>320</v>
      </c>
      <c r="D406" s="285"/>
      <c r="E406" s="285">
        <v>40</v>
      </c>
      <c r="F406" s="285"/>
      <c r="G406" s="286">
        <v>53</v>
      </c>
    </row>
    <row r="407" spans="1:7" ht="11.15" customHeight="1" x14ac:dyDescent="0.3">
      <c r="A407" s="255"/>
      <c r="B407" s="22"/>
      <c r="C407" s="22" t="s">
        <v>54</v>
      </c>
      <c r="D407" s="256">
        <v>8</v>
      </c>
      <c r="E407" s="256">
        <v>8</v>
      </c>
      <c r="F407" s="256">
        <v>11</v>
      </c>
      <c r="G407" s="257">
        <v>11</v>
      </c>
    </row>
    <row r="408" spans="1:7" ht="11.15" customHeight="1" x14ac:dyDescent="0.3">
      <c r="A408" s="255"/>
      <c r="B408" s="22"/>
      <c r="C408" s="22" t="s">
        <v>53</v>
      </c>
      <c r="D408" s="256">
        <v>12</v>
      </c>
      <c r="E408" s="256">
        <v>12</v>
      </c>
      <c r="F408" s="256">
        <v>16</v>
      </c>
      <c r="G408" s="257">
        <v>16</v>
      </c>
    </row>
    <row r="409" spans="1:7" ht="10.75" customHeight="1" x14ac:dyDescent="0.3">
      <c r="A409" s="255"/>
      <c r="B409" s="22"/>
      <c r="C409" s="22" t="s">
        <v>133</v>
      </c>
      <c r="D409" s="256">
        <v>5</v>
      </c>
      <c r="E409" s="256">
        <v>5</v>
      </c>
      <c r="F409" s="256">
        <v>7</v>
      </c>
      <c r="G409" s="257">
        <v>7</v>
      </c>
    </row>
    <row r="410" spans="1:7" ht="10.75" customHeight="1" x14ac:dyDescent="0.3">
      <c r="A410" s="255"/>
      <c r="B410" s="22"/>
      <c r="C410" s="22" t="s">
        <v>154</v>
      </c>
      <c r="D410" s="256">
        <v>3</v>
      </c>
      <c r="E410" s="256">
        <v>3</v>
      </c>
      <c r="F410" s="256">
        <v>4</v>
      </c>
      <c r="G410" s="257">
        <v>4</v>
      </c>
    </row>
    <row r="411" spans="1:7" ht="10.75" customHeight="1" x14ac:dyDescent="0.3">
      <c r="A411" s="183">
        <v>353</v>
      </c>
      <c r="B411" s="22"/>
      <c r="C411" s="284" t="s">
        <v>315</v>
      </c>
      <c r="D411" s="285"/>
      <c r="E411" s="285">
        <v>15</v>
      </c>
      <c r="F411" s="285"/>
      <c r="G411" s="286">
        <v>30</v>
      </c>
    </row>
    <row r="412" spans="1:7" ht="10.75" customHeight="1" x14ac:dyDescent="0.3">
      <c r="A412" s="255"/>
      <c r="B412" s="22"/>
      <c r="C412" s="22" t="s">
        <v>53</v>
      </c>
      <c r="D412" s="256">
        <f>750*E411/1000</f>
        <v>11.25</v>
      </c>
      <c r="E412" s="256">
        <f>750*E411/1000</f>
        <v>11.25</v>
      </c>
      <c r="F412" s="256">
        <f>750*G411/1000</f>
        <v>22.5</v>
      </c>
      <c r="G412" s="257">
        <f>750*G411/1000</f>
        <v>22.5</v>
      </c>
    </row>
    <row r="413" spans="1:7" ht="10.75" customHeight="1" x14ac:dyDescent="0.3">
      <c r="A413" s="255"/>
      <c r="B413" s="22"/>
      <c r="C413" s="22" t="s">
        <v>154</v>
      </c>
      <c r="D413" s="256">
        <f>130*E411/1000</f>
        <v>1.95</v>
      </c>
      <c r="E413" s="256">
        <f>130*E411/1000</f>
        <v>1.95</v>
      </c>
      <c r="F413" s="256">
        <f>130*G411/1000</f>
        <v>3.9</v>
      </c>
      <c r="G413" s="257">
        <f>130*G411/1000</f>
        <v>3.9</v>
      </c>
    </row>
    <row r="414" spans="1:7" ht="10.75" customHeight="1" x14ac:dyDescent="0.3">
      <c r="A414" s="255"/>
      <c r="B414" s="22"/>
      <c r="C414" s="22" t="s">
        <v>119</v>
      </c>
      <c r="D414" s="256">
        <f>130*E411/1000</f>
        <v>1.95</v>
      </c>
      <c r="E414" s="256">
        <f>130*E411/1000</f>
        <v>1.95</v>
      </c>
      <c r="F414" s="256">
        <f>130*G411/1000</f>
        <v>3.9</v>
      </c>
      <c r="G414" s="257">
        <f>130*G411/1000</f>
        <v>3.9</v>
      </c>
    </row>
    <row r="415" spans="1:7" ht="10.75" customHeight="1" x14ac:dyDescent="0.3">
      <c r="A415" s="255"/>
      <c r="B415" s="22"/>
      <c r="C415" s="22" t="s">
        <v>56</v>
      </c>
      <c r="D415" s="256">
        <f>150*E411/1000</f>
        <v>2.25</v>
      </c>
      <c r="E415" s="256">
        <f>150*E411/1000</f>
        <v>2.25</v>
      </c>
      <c r="F415" s="256">
        <f>150*G411/1000</f>
        <v>4.5</v>
      </c>
      <c r="G415" s="257">
        <f>150*G411/1000</f>
        <v>4.5</v>
      </c>
    </row>
    <row r="416" spans="1:7" ht="10.75" customHeight="1" x14ac:dyDescent="0.3">
      <c r="A416" s="255"/>
      <c r="B416" s="22"/>
      <c r="C416" s="22" t="s">
        <v>58</v>
      </c>
      <c r="D416" s="271">
        <f>8*E411/1000</f>
        <v>0.12</v>
      </c>
      <c r="E416" s="271">
        <f>8*E411/1000</f>
        <v>0.12</v>
      </c>
      <c r="F416" s="271">
        <f>8*G411/1000</f>
        <v>0.24</v>
      </c>
      <c r="G416" s="272">
        <f>8*G411/1000</f>
        <v>0.24</v>
      </c>
    </row>
    <row r="417" spans="1:7" ht="10.75" customHeight="1" x14ac:dyDescent="0.3">
      <c r="A417" s="255">
        <v>1</v>
      </c>
      <c r="B417" s="22" t="s">
        <v>18</v>
      </c>
      <c r="C417" s="53" t="s">
        <v>54</v>
      </c>
      <c r="D417" s="256">
        <v>17</v>
      </c>
      <c r="E417" s="256">
        <v>17</v>
      </c>
      <c r="F417" s="256">
        <v>21</v>
      </c>
      <c r="G417" s="257">
        <v>21</v>
      </c>
    </row>
    <row r="418" spans="1:7" ht="10.75" customHeight="1" x14ac:dyDescent="0.3">
      <c r="A418" s="183">
        <v>392</v>
      </c>
      <c r="B418" s="22" t="s">
        <v>540</v>
      </c>
      <c r="C418" s="22" t="s">
        <v>78</v>
      </c>
      <c r="D418" s="256">
        <v>0.2</v>
      </c>
      <c r="E418" s="256">
        <v>0.2</v>
      </c>
      <c r="F418" s="256">
        <v>0.3</v>
      </c>
      <c r="G418" s="257">
        <v>0.3</v>
      </c>
    </row>
    <row r="419" spans="1:7" ht="10.75" customHeight="1" x14ac:dyDescent="0.3">
      <c r="A419" s="183"/>
      <c r="B419" s="22"/>
      <c r="C419" s="22"/>
      <c r="D419" s="256"/>
      <c r="E419" s="256"/>
      <c r="F419" s="256"/>
      <c r="G419" s="257"/>
    </row>
    <row r="420" spans="1:7" ht="10.75" customHeight="1" x14ac:dyDescent="0.3">
      <c r="A420" s="183"/>
      <c r="B420" s="22"/>
      <c r="C420" s="22" t="s">
        <v>541</v>
      </c>
      <c r="D420" s="256">
        <v>12</v>
      </c>
      <c r="E420" s="256">
        <v>12</v>
      </c>
      <c r="F420" s="256">
        <v>15</v>
      </c>
      <c r="G420" s="257">
        <v>15</v>
      </c>
    </row>
    <row r="421" spans="1:7" ht="48.65" customHeight="1" thickBot="1" x14ac:dyDescent="0.35">
      <c r="A421" s="295"/>
      <c r="B421" s="26"/>
      <c r="C421" s="26" t="s">
        <v>56</v>
      </c>
      <c r="D421" s="258">
        <v>150</v>
      </c>
      <c r="E421" s="258">
        <v>150</v>
      </c>
      <c r="F421" s="258">
        <v>180</v>
      </c>
      <c r="G421" s="259">
        <v>180</v>
      </c>
    </row>
    <row r="422" spans="1:7" ht="9.75" customHeight="1" thickBot="1" x14ac:dyDescent="0.35">
      <c r="A422" s="184"/>
      <c r="B422" s="586" t="s">
        <v>6</v>
      </c>
      <c r="C422" s="40"/>
      <c r="D422" s="587" t="s">
        <v>72</v>
      </c>
      <c r="E422" s="588"/>
      <c r="F422" s="589" t="s">
        <v>73</v>
      </c>
      <c r="G422" s="588"/>
    </row>
    <row r="423" spans="1:7" ht="9.75" customHeight="1" thickBot="1" x14ac:dyDescent="0.35">
      <c r="A423" s="166" t="s">
        <v>148</v>
      </c>
      <c r="B423" s="595"/>
      <c r="C423" s="185"/>
      <c r="D423" s="155" t="s">
        <v>96</v>
      </c>
      <c r="E423" s="156" t="s">
        <v>48</v>
      </c>
      <c r="F423" s="155" t="s">
        <v>96</v>
      </c>
      <c r="G423" s="156" t="s">
        <v>48</v>
      </c>
    </row>
    <row r="424" spans="1:7" ht="9.75" customHeight="1" x14ac:dyDescent="0.3">
      <c r="A424" s="95">
        <v>237</v>
      </c>
      <c r="B424" s="44" t="s">
        <v>112</v>
      </c>
      <c r="C424" s="44" t="s">
        <v>97</v>
      </c>
      <c r="D424" s="253">
        <v>93.8</v>
      </c>
      <c r="E424" s="253">
        <v>92</v>
      </c>
      <c r="F424" s="253">
        <v>93.8</v>
      </c>
      <c r="G424" s="254">
        <v>92</v>
      </c>
    </row>
    <row r="425" spans="1:7" ht="9.75" customHeight="1" x14ac:dyDescent="0.3">
      <c r="A425" s="255" t="s">
        <v>150</v>
      </c>
      <c r="B425" s="22" t="s">
        <v>230</v>
      </c>
      <c r="C425" s="22" t="s">
        <v>98</v>
      </c>
      <c r="D425" s="256">
        <v>6</v>
      </c>
      <c r="E425" s="256">
        <v>6</v>
      </c>
      <c r="F425" s="256">
        <v>6</v>
      </c>
      <c r="G425" s="257">
        <v>6</v>
      </c>
    </row>
    <row r="426" spans="1:7" ht="9.75" customHeight="1" x14ac:dyDescent="0.3">
      <c r="A426" s="255"/>
      <c r="B426" s="22"/>
      <c r="C426" s="22" t="s">
        <v>57</v>
      </c>
      <c r="D426" s="256">
        <v>8</v>
      </c>
      <c r="E426" s="256">
        <v>8</v>
      </c>
      <c r="F426" s="256">
        <v>8</v>
      </c>
      <c r="G426" s="257">
        <v>8</v>
      </c>
    </row>
    <row r="427" spans="1:7" ht="9.75" customHeight="1" x14ac:dyDescent="0.3">
      <c r="A427" s="255"/>
      <c r="B427" s="22"/>
      <c r="C427" s="22" t="s">
        <v>99</v>
      </c>
      <c r="D427" s="256">
        <v>4</v>
      </c>
      <c r="E427" s="256">
        <v>4</v>
      </c>
      <c r="F427" s="256">
        <v>4</v>
      </c>
      <c r="G427" s="257">
        <v>4</v>
      </c>
    </row>
    <row r="428" spans="1:7" ht="9.75" customHeight="1" x14ac:dyDescent="0.3">
      <c r="A428" s="255"/>
      <c r="B428" s="22"/>
      <c r="C428" s="22" t="s">
        <v>59</v>
      </c>
      <c r="D428" s="256">
        <v>4</v>
      </c>
      <c r="E428" s="256">
        <v>4</v>
      </c>
      <c r="F428" s="256">
        <v>4</v>
      </c>
      <c r="G428" s="257">
        <v>4</v>
      </c>
    </row>
    <row r="429" spans="1:7" ht="9.75" customHeight="1" x14ac:dyDescent="0.3">
      <c r="A429" s="255"/>
      <c r="B429" s="22"/>
      <c r="C429" s="22" t="s">
        <v>100</v>
      </c>
      <c r="D429" s="256">
        <f>4*1.56</f>
        <v>6.24</v>
      </c>
      <c r="E429" s="256">
        <v>4</v>
      </c>
      <c r="F429" s="256">
        <f>4*1.56</f>
        <v>6.24</v>
      </c>
      <c r="G429" s="257">
        <v>4</v>
      </c>
    </row>
    <row r="430" spans="1:7" ht="9.75" customHeight="1" x14ac:dyDescent="0.3">
      <c r="A430" s="255"/>
      <c r="B430" s="22"/>
      <c r="C430" s="22" t="s">
        <v>67</v>
      </c>
      <c r="D430" s="256">
        <v>4</v>
      </c>
      <c r="E430" s="256">
        <v>4</v>
      </c>
      <c r="F430" s="256">
        <v>4</v>
      </c>
      <c r="G430" s="257">
        <v>4</v>
      </c>
    </row>
    <row r="431" spans="1:7" ht="9.75" customHeight="1" x14ac:dyDescent="0.3">
      <c r="A431" s="255">
        <v>362</v>
      </c>
      <c r="B431" s="22" t="s">
        <v>385</v>
      </c>
      <c r="C431" s="22" t="s">
        <v>195</v>
      </c>
      <c r="D431" s="256">
        <f>256*30/1000</f>
        <v>7.68</v>
      </c>
      <c r="E431" s="256">
        <f>225*30/1000</f>
        <v>6.75</v>
      </c>
      <c r="F431" s="256">
        <f>256*30/1000</f>
        <v>7.68</v>
      </c>
      <c r="G431" s="257">
        <f>225*30/1000</f>
        <v>6.75</v>
      </c>
    </row>
    <row r="432" spans="1:7" ht="9.75" customHeight="1" x14ac:dyDescent="0.3">
      <c r="A432" s="255" t="s">
        <v>150</v>
      </c>
      <c r="B432" s="22" t="s">
        <v>231</v>
      </c>
      <c r="C432" s="22" t="s">
        <v>57</v>
      </c>
      <c r="D432" s="256">
        <f>125*30/1000</f>
        <v>3.75</v>
      </c>
      <c r="E432" s="256">
        <f>125*30/1000</f>
        <v>3.75</v>
      </c>
      <c r="F432" s="256">
        <f>125*30/1000</f>
        <v>3.75</v>
      </c>
      <c r="G432" s="257">
        <f>125*30/1000</f>
        <v>3.75</v>
      </c>
    </row>
    <row r="433" spans="1:7" ht="9.75" customHeight="1" x14ac:dyDescent="0.3">
      <c r="A433" s="255"/>
      <c r="B433" s="22"/>
      <c r="C433" s="22" t="s">
        <v>141</v>
      </c>
      <c r="D433" s="256">
        <f>30*30/1000</f>
        <v>0.9</v>
      </c>
      <c r="E433" s="256">
        <f>30*30/1000</f>
        <v>0.9</v>
      </c>
      <c r="F433" s="256">
        <f>30*30/1000</f>
        <v>0.9</v>
      </c>
      <c r="G433" s="257">
        <f>30*30/1000</f>
        <v>0.9</v>
      </c>
    </row>
    <row r="434" spans="1:7" ht="9.75" customHeight="1" x14ac:dyDescent="0.3">
      <c r="A434" s="255"/>
      <c r="B434" s="22"/>
      <c r="C434" s="22" t="s">
        <v>292</v>
      </c>
      <c r="D434" s="271">
        <f>1*30/1000</f>
        <v>0.03</v>
      </c>
      <c r="E434" s="271">
        <f t="shared" ref="E434:G435" si="1">1*30/1000</f>
        <v>0.03</v>
      </c>
      <c r="F434" s="271">
        <f t="shared" si="1"/>
        <v>0.03</v>
      </c>
      <c r="G434" s="272">
        <f t="shared" si="1"/>
        <v>0.03</v>
      </c>
    </row>
    <row r="435" spans="1:7" ht="9.75" customHeight="1" x14ac:dyDescent="0.3">
      <c r="A435" s="255"/>
      <c r="B435" s="22"/>
      <c r="C435" s="22" t="s">
        <v>161</v>
      </c>
      <c r="D435" s="271">
        <f>1*30/1000</f>
        <v>0.03</v>
      </c>
      <c r="E435" s="271">
        <f t="shared" si="1"/>
        <v>0.03</v>
      </c>
      <c r="F435" s="271">
        <f t="shared" si="1"/>
        <v>0.03</v>
      </c>
      <c r="G435" s="272">
        <f t="shared" si="1"/>
        <v>0.03</v>
      </c>
    </row>
    <row r="436" spans="1:7" ht="9.75" customHeight="1" x14ac:dyDescent="0.3">
      <c r="A436" s="255"/>
      <c r="B436" s="22"/>
      <c r="C436" s="22" t="s">
        <v>56</v>
      </c>
      <c r="D436" s="256">
        <f>800*30/1000</f>
        <v>24</v>
      </c>
      <c r="E436" s="256">
        <f>800*30/1000</f>
        <v>24</v>
      </c>
      <c r="F436" s="256">
        <f>800*30/1000</f>
        <v>24</v>
      </c>
      <c r="G436" s="257">
        <f>800*30/1000</f>
        <v>24</v>
      </c>
    </row>
    <row r="437" spans="1:7" ht="9.75" customHeight="1" x14ac:dyDescent="0.3">
      <c r="A437" s="255">
        <v>1</v>
      </c>
      <c r="B437" s="22" t="s">
        <v>473</v>
      </c>
      <c r="C437" s="22" t="s">
        <v>474</v>
      </c>
      <c r="D437" s="256">
        <v>24</v>
      </c>
      <c r="E437" s="256">
        <v>24</v>
      </c>
      <c r="F437" s="256">
        <v>30</v>
      </c>
      <c r="G437" s="257">
        <v>30</v>
      </c>
    </row>
    <row r="438" spans="1:7" ht="9.75" customHeight="1" x14ac:dyDescent="0.3">
      <c r="A438" s="255">
        <v>7</v>
      </c>
      <c r="B438" s="22"/>
      <c r="C438" s="22"/>
      <c r="D438" s="256"/>
      <c r="E438" s="256"/>
      <c r="F438" s="256"/>
      <c r="G438" s="257"/>
    </row>
    <row r="439" spans="1:7" ht="9.75" customHeight="1" x14ac:dyDescent="0.3">
      <c r="A439" s="183">
        <v>392</v>
      </c>
      <c r="B439" s="22" t="s">
        <v>369</v>
      </c>
      <c r="C439" s="22" t="s">
        <v>78</v>
      </c>
      <c r="D439" s="256">
        <f>10*20/1000</f>
        <v>0.2</v>
      </c>
      <c r="E439" s="256">
        <f>10*20/1000</f>
        <v>0.2</v>
      </c>
      <c r="F439" s="256">
        <f>10*30/1000</f>
        <v>0.3</v>
      </c>
      <c r="G439" s="257">
        <f>10*30/1000</f>
        <v>0.3</v>
      </c>
    </row>
    <row r="440" spans="1:7" ht="9.75" customHeight="1" thickBot="1" x14ac:dyDescent="0.35">
      <c r="A440" s="96"/>
      <c r="B440" s="26" t="s">
        <v>305</v>
      </c>
      <c r="C440" s="26" t="s">
        <v>57</v>
      </c>
      <c r="D440" s="258">
        <v>7</v>
      </c>
      <c r="E440" s="258">
        <v>7</v>
      </c>
      <c r="F440" s="258">
        <v>10</v>
      </c>
      <c r="G440" s="259">
        <v>10</v>
      </c>
    </row>
    <row r="441" spans="1:7" ht="9.75" customHeight="1" thickBot="1" x14ac:dyDescent="0.35">
      <c r="A441" s="296">
        <v>368</v>
      </c>
      <c r="B441" s="71" t="s">
        <v>542</v>
      </c>
      <c r="C441" s="71" t="s">
        <v>193</v>
      </c>
      <c r="D441" s="424">
        <v>109</v>
      </c>
      <c r="E441" s="424">
        <v>95</v>
      </c>
      <c r="F441" s="313">
        <v>114</v>
      </c>
      <c r="G441" s="314">
        <v>100</v>
      </c>
    </row>
    <row r="442" spans="1:7" ht="9.75" customHeight="1" x14ac:dyDescent="0.3">
      <c r="A442" s="95">
        <v>13</v>
      </c>
      <c r="B442" s="44" t="s">
        <v>146</v>
      </c>
      <c r="C442" s="44" t="s">
        <v>273</v>
      </c>
      <c r="D442" s="405">
        <f>1188*30/1000</f>
        <v>35.64</v>
      </c>
      <c r="E442" s="405">
        <f>950*30/1000</f>
        <v>28.5</v>
      </c>
      <c r="F442" s="405">
        <f>1188*50/1000</f>
        <v>59.4</v>
      </c>
      <c r="G442" s="406">
        <f>950*50/1000</f>
        <v>47.5</v>
      </c>
    </row>
    <row r="443" spans="1:7" ht="9.75" customHeight="1" x14ac:dyDescent="0.3">
      <c r="A443" s="255" t="s">
        <v>150</v>
      </c>
      <c r="B443" s="22" t="s">
        <v>518</v>
      </c>
      <c r="C443" s="22" t="s">
        <v>113</v>
      </c>
      <c r="D443" s="407">
        <f>60*30/1000</f>
        <v>1.8</v>
      </c>
      <c r="E443" s="407">
        <f>60*30/1000</f>
        <v>1.8</v>
      </c>
      <c r="F443" s="407">
        <f>60*50/1000</f>
        <v>3</v>
      </c>
      <c r="G443" s="408">
        <f>60*50/1000</f>
        <v>3</v>
      </c>
    </row>
    <row r="444" spans="1:7" ht="9.75" customHeight="1" x14ac:dyDescent="0.3">
      <c r="A444" s="183">
        <v>63</v>
      </c>
      <c r="B444" s="22" t="s">
        <v>256</v>
      </c>
      <c r="C444" s="22" t="s">
        <v>114</v>
      </c>
      <c r="D444" s="407">
        <f>200*150/1000</f>
        <v>30</v>
      </c>
      <c r="E444" s="407">
        <f>160*150/1000</f>
        <v>24</v>
      </c>
      <c r="F444" s="407">
        <f>200*180/1000</f>
        <v>36</v>
      </c>
      <c r="G444" s="408">
        <f>160*180/1000</f>
        <v>28.8</v>
      </c>
    </row>
    <row r="445" spans="1:7" ht="9.75" customHeight="1" x14ac:dyDescent="0.3">
      <c r="A445" s="255"/>
      <c r="B445" s="411" t="s">
        <v>245</v>
      </c>
      <c r="C445" s="22" t="s">
        <v>185</v>
      </c>
      <c r="D445" s="407">
        <f>E445*1.33</f>
        <v>27.93</v>
      </c>
      <c r="E445" s="407">
        <f>140*150/1000</f>
        <v>21</v>
      </c>
      <c r="F445" s="407">
        <f>G445*1.33</f>
        <v>23.94</v>
      </c>
      <c r="G445" s="408">
        <f>100*180/1000</f>
        <v>18</v>
      </c>
    </row>
    <row r="446" spans="1:7" ht="9.75" customHeight="1" x14ac:dyDescent="0.3">
      <c r="A446" s="255" t="s">
        <v>180</v>
      </c>
      <c r="B446" s="22" t="s">
        <v>343</v>
      </c>
      <c r="C446" s="22" t="s">
        <v>186</v>
      </c>
      <c r="D446" s="407">
        <f>E446*1.43</f>
        <v>30.029999999999998</v>
      </c>
      <c r="E446" s="407">
        <f>140*150/1000</f>
        <v>21</v>
      </c>
      <c r="F446" s="407">
        <f>G446*1.43</f>
        <v>25.74</v>
      </c>
      <c r="G446" s="408">
        <f>100*180/1000</f>
        <v>18</v>
      </c>
    </row>
    <row r="447" spans="1:7" ht="9.75" customHeight="1" x14ac:dyDescent="0.3">
      <c r="A447" s="255"/>
      <c r="B447" s="403" t="s">
        <v>543</v>
      </c>
      <c r="C447" s="22" t="s">
        <v>187</v>
      </c>
      <c r="D447" s="407">
        <f>E447*1.54</f>
        <v>32.340000000000003</v>
      </c>
      <c r="E447" s="407">
        <f>140*150/1000</f>
        <v>21</v>
      </c>
      <c r="F447" s="407">
        <f>G447*1.54</f>
        <v>27.72</v>
      </c>
      <c r="G447" s="408">
        <f>100*180/1000</f>
        <v>18</v>
      </c>
    </row>
    <row r="448" spans="1:7" ht="9.75" customHeight="1" x14ac:dyDescent="0.3">
      <c r="A448" s="255"/>
      <c r="B448" s="22"/>
      <c r="C448" s="22" t="s">
        <v>188</v>
      </c>
      <c r="D448" s="407">
        <f>E448*1.67</f>
        <v>35.07</v>
      </c>
      <c r="E448" s="407">
        <f>140*150/1000</f>
        <v>21</v>
      </c>
      <c r="F448" s="407">
        <f>G448*1.67</f>
        <v>30.06</v>
      </c>
      <c r="G448" s="408">
        <f>100*180/1000</f>
        <v>18</v>
      </c>
    </row>
    <row r="449" spans="1:7" ht="9.75" customHeight="1" x14ac:dyDescent="0.3">
      <c r="A449" s="255"/>
      <c r="B449" s="22"/>
      <c r="C449" s="22" t="s">
        <v>64</v>
      </c>
      <c r="D449" s="407">
        <f>63*150/1000</f>
        <v>9.4499999999999993</v>
      </c>
      <c r="E449" s="407">
        <f>50*150/1000</f>
        <v>7.5</v>
      </c>
      <c r="F449" s="407">
        <f>63*180/1000</f>
        <v>11.34</v>
      </c>
      <c r="G449" s="408">
        <f>50*180/1000</f>
        <v>9</v>
      </c>
    </row>
    <row r="450" spans="1:7" ht="9.75" customHeight="1" x14ac:dyDescent="0.3">
      <c r="A450" s="255"/>
      <c r="B450" s="22"/>
      <c r="C450" s="22" t="s">
        <v>62</v>
      </c>
      <c r="D450" s="407">
        <f>48*150/1000</f>
        <v>7.2</v>
      </c>
      <c r="E450" s="407">
        <f>40*150/1000</f>
        <v>6</v>
      </c>
      <c r="F450" s="407">
        <f>48*180/1000</f>
        <v>8.64</v>
      </c>
      <c r="G450" s="408">
        <f>40*180/1000</f>
        <v>7.2</v>
      </c>
    </row>
    <row r="451" spans="1:7" ht="9.75" customHeight="1" x14ac:dyDescent="0.3">
      <c r="A451" s="255"/>
      <c r="B451" s="22"/>
      <c r="C451" s="22" t="s">
        <v>386</v>
      </c>
      <c r="D451" s="407">
        <v>0</v>
      </c>
      <c r="E451" s="407">
        <v>0</v>
      </c>
      <c r="F451" s="407">
        <f>40*180/1000</f>
        <v>7.2</v>
      </c>
      <c r="G451" s="408">
        <f>10*1000/505</f>
        <v>19.801980198019802</v>
      </c>
    </row>
    <row r="452" spans="1:7" ht="9.75" customHeight="1" x14ac:dyDescent="0.3">
      <c r="A452" s="255"/>
      <c r="B452" s="22"/>
      <c r="C452" s="22" t="s">
        <v>113</v>
      </c>
      <c r="D452" s="407">
        <f>10*150/1000</f>
        <v>1.5</v>
      </c>
      <c r="E452" s="407">
        <f>10*150/1000</f>
        <v>1.5</v>
      </c>
      <c r="F452" s="407">
        <f>10*180/1000</f>
        <v>1.8</v>
      </c>
      <c r="G452" s="408">
        <f>10*180/1000</f>
        <v>1.8</v>
      </c>
    </row>
    <row r="453" spans="1:7" ht="9.75" customHeight="1" x14ac:dyDescent="0.3">
      <c r="A453" s="255"/>
      <c r="B453" s="22"/>
      <c r="C453" s="22" t="s">
        <v>115</v>
      </c>
      <c r="D453" s="407">
        <v>0</v>
      </c>
      <c r="E453" s="407">
        <v>0</v>
      </c>
      <c r="F453" s="407">
        <f>12*180/1000</f>
        <v>2.16</v>
      </c>
      <c r="G453" s="408">
        <f>12*180/1000</f>
        <v>2.16</v>
      </c>
    </row>
    <row r="454" spans="1:7" ht="9.75" customHeight="1" x14ac:dyDescent="0.3">
      <c r="A454" s="255"/>
      <c r="B454" s="22"/>
      <c r="C454" s="22" t="s">
        <v>57</v>
      </c>
      <c r="D454" s="407">
        <f>6*150/1000</f>
        <v>0.9</v>
      </c>
      <c r="E454" s="407">
        <f>6*150/1000</f>
        <v>0.9</v>
      </c>
      <c r="F454" s="407">
        <f>6*180/1000</f>
        <v>1.08</v>
      </c>
      <c r="G454" s="408">
        <f>6*180/1000</f>
        <v>1.08</v>
      </c>
    </row>
    <row r="455" spans="1:7" ht="9.75" customHeight="1" x14ac:dyDescent="0.3">
      <c r="A455" s="255"/>
      <c r="B455" s="22"/>
      <c r="C455" s="22" t="s">
        <v>155</v>
      </c>
      <c r="D455" s="256">
        <f>E455*1.095</f>
        <v>17.52</v>
      </c>
      <c r="E455" s="256">
        <f>96*10/60</f>
        <v>16</v>
      </c>
      <c r="F455" s="256">
        <f>G455*1.095</f>
        <v>17.52</v>
      </c>
      <c r="G455" s="257">
        <f>96*10/60</f>
        <v>16</v>
      </c>
    </row>
    <row r="456" spans="1:7" ht="9.75" customHeight="1" x14ac:dyDescent="0.3">
      <c r="A456" s="255"/>
      <c r="B456" s="22"/>
      <c r="C456" s="22" t="s">
        <v>67</v>
      </c>
      <c r="D456" s="256">
        <v>10</v>
      </c>
      <c r="E456" s="256">
        <v>10</v>
      </c>
      <c r="F456" s="256">
        <v>10</v>
      </c>
      <c r="G456" s="257">
        <v>10</v>
      </c>
    </row>
    <row r="457" spans="1:7" ht="9.75" customHeight="1" x14ac:dyDescent="0.3">
      <c r="A457" s="255">
        <v>321</v>
      </c>
      <c r="B457" s="22" t="s">
        <v>104</v>
      </c>
      <c r="C457" s="22" t="s">
        <v>185</v>
      </c>
      <c r="D457" s="407">
        <f>E457*1.33</f>
        <v>136.458</v>
      </c>
      <c r="E457" s="408">
        <f>855*120/1000</f>
        <v>102.6</v>
      </c>
      <c r="F457" s="256">
        <f>G457*1.33</f>
        <v>170.57250000000002</v>
      </c>
      <c r="G457" s="257">
        <f>855*150/1000</f>
        <v>128.25</v>
      </c>
    </row>
    <row r="458" spans="1:7" ht="9.75" customHeight="1" x14ac:dyDescent="0.3">
      <c r="A458" s="255"/>
      <c r="B458" s="22"/>
      <c r="C458" s="22" t="s">
        <v>186</v>
      </c>
      <c r="D458" s="407">
        <f>E458*1.43</f>
        <v>146.71799999999999</v>
      </c>
      <c r="E458" s="408">
        <f>855*120/1000</f>
        <v>102.6</v>
      </c>
      <c r="F458" s="256">
        <f>G458*1.43</f>
        <v>183.39749999999998</v>
      </c>
      <c r="G458" s="257">
        <f>855*150/1000</f>
        <v>128.25</v>
      </c>
    </row>
    <row r="459" spans="1:7" ht="9.75" customHeight="1" x14ac:dyDescent="0.3">
      <c r="A459" s="255"/>
      <c r="B459" s="22"/>
      <c r="C459" s="22" t="s">
        <v>187</v>
      </c>
      <c r="D459" s="407">
        <f>E459*1.54</f>
        <v>158.00399999999999</v>
      </c>
      <c r="E459" s="408">
        <f>855*120/1000</f>
        <v>102.6</v>
      </c>
      <c r="F459" s="256">
        <f>G459*1.54</f>
        <v>197.505</v>
      </c>
      <c r="G459" s="257">
        <f>855*150/1000</f>
        <v>128.25</v>
      </c>
    </row>
    <row r="460" spans="1:7" ht="9.75" customHeight="1" x14ac:dyDescent="0.3">
      <c r="A460" s="255"/>
      <c r="B460" s="22"/>
      <c r="C460" s="22" t="s">
        <v>188</v>
      </c>
      <c r="D460" s="407">
        <f>E460*1.67</f>
        <v>171.34199999999998</v>
      </c>
      <c r="E460" s="408">
        <f>855*120/1000</f>
        <v>102.6</v>
      </c>
      <c r="F460" s="256">
        <f>G460*1.67</f>
        <v>214.17749999999998</v>
      </c>
      <c r="G460" s="257">
        <f>855*150/1000</f>
        <v>128.25</v>
      </c>
    </row>
    <row r="461" spans="1:7" ht="9.75" customHeight="1" x14ac:dyDescent="0.3">
      <c r="A461" s="255" t="s">
        <v>150</v>
      </c>
      <c r="B461" s="22" t="s">
        <v>544</v>
      </c>
      <c r="C461" s="22" t="s">
        <v>125</v>
      </c>
      <c r="D461" s="407">
        <f>158*120/1000</f>
        <v>18.96</v>
      </c>
      <c r="E461" s="408">
        <f>150*120/1000</f>
        <v>18</v>
      </c>
      <c r="F461" s="256">
        <f>158*150/1000</f>
        <v>23.7</v>
      </c>
      <c r="G461" s="257">
        <f>150*150/1000</f>
        <v>22.5</v>
      </c>
    </row>
    <row r="462" spans="1:7" ht="9.75" customHeight="1" x14ac:dyDescent="0.3">
      <c r="A462" s="255"/>
      <c r="B462" s="22"/>
      <c r="C462" s="22" t="s">
        <v>137</v>
      </c>
      <c r="D462" s="407">
        <f>D461*0.12</f>
        <v>2.2751999999999999</v>
      </c>
      <c r="E462" s="408">
        <f>E461*0.12</f>
        <v>2.16</v>
      </c>
      <c r="F462" s="256">
        <f>F461*0.12</f>
        <v>2.8439999999999999</v>
      </c>
      <c r="G462" s="257">
        <f>G461*0.12</f>
        <v>2.6999999999999997</v>
      </c>
    </row>
    <row r="463" spans="1:7" ht="9.75" customHeight="1" x14ac:dyDescent="0.3">
      <c r="A463" s="255"/>
      <c r="B463" s="22"/>
      <c r="C463" s="22" t="s">
        <v>59</v>
      </c>
      <c r="D463" s="407">
        <f>35*120/1000</f>
        <v>4.2</v>
      </c>
      <c r="E463" s="408">
        <f>35*120/1000</f>
        <v>4.2</v>
      </c>
      <c r="F463" s="256">
        <f>35*150/1000</f>
        <v>5.25</v>
      </c>
      <c r="G463" s="257">
        <f>35*150/1000</f>
        <v>5.25</v>
      </c>
    </row>
    <row r="464" spans="1:7" ht="9.75" customHeight="1" x14ac:dyDescent="0.3">
      <c r="A464" s="255"/>
      <c r="B464" s="22"/>
      <c r="C464" s="22" t="s">
        <v>58</v>
      </c>
      <c r="D464" s="407">
        <f>0.001*150</f>
        <v>0.15</v>
      </c>
      <c r="E464" s="408">
        <f>0.001*150</f>
        <v>0.15</v>
      </c>
      <c r="F464" s="256">
        <f>0.001*150</f>
        <v>0.15</v>
      </c>
      <c r="G464" s="257">
        <f>0.001*150</f>
        <v>0.15</v>
      </c>
    </row>
    <row r="465" spans="1:7" ht="9.75" customHeight="1" x14ac:dyDescent="0.3">
      <c r="A465" s="255">
        <v>261</v>
      </c>
      <c r="B465" s="22" t="s">
        <v>234</v>
      </c>
      <c r="C465" s="22" t="s">
        <v>277</v>
      </c>
      <c r="D465" s="256">
        <f>182*E465/122</f>
        <v>61.16393442622951</v>
      </c>
      <c r="E465" s="256">
        <v>41</v>
      </c>
      <c r="F465" s="256">
        <f>182*G465/122</f>
        <v>80.557377049180332</v>
      </c>
      <c r="G465" s="257">
        <v>54</v>
      </c>
    </row>
    <row r="466" spans="1:7" ht="9.75" customHeight="1" x14ac:dyDescent="0.3">
      <c r="A466" s="255" t="s">
        <v>150</v>
      </c>
      <c r="B466" s="22" t="s">
        <v>121</v>
      </c>
      <c r="C466" s="22" t="s">
        <v>139</v>
      </c>
      <c r="D466" s="256">
        <f>107*E466/91</f>
        <v>48.208791208791212</v>
      </c>
      <c r="E466" s="256">
        <v>41</v>
      </c>
      <c r="F466" s="256">
        <f>107*G466/91</f>
        <v>63.494505494505496</v>
      </c>
      <c r="G466" s="257">
        <v>54</v>
      </c>
    </row>
    <row r="467" spans="1:7" ht="9.75" customHeight="1" x14ac:dyDescent="0.3">
      <c r="A467" s="255" t="s">
        <v>150</v>
      </c>
      <c r="B467" s="22" t="s">
        <v>123</v>
      </c>
      <c r="C467" s="22" t="s">
        <v>138</v>
      </c>
      <c r="D467" s="256">
        <f>152*E467/91</f>
        <v>68.483516483516482</v>
      </c>
      <c r="E467" s="256">
        <v>41</v>
      </c>
      <c r="F467" s="256">
        <f>152*G467/91</f>
        <v>90.197802197802204</v>
      </c>
      <c r="G467" s="257">
        <v>54</v>
      </c>
    </row>
    <row r="468" spans="1:7" ht="9.75" customHeight="1" x14ac:dyDescent="0.3">
      <c r="A468" s="255"/>
      <c r="B468" s="22"/>
      <c r="C468" s="22" t="s">
        <v>209</v>
      </c>
      <c r="D468" s="256">
        <v>10</v>
      </c>
      <c r="E468" s="256">
        <v>10</v>
      </c>
      <c r="F468" s="256">
        <v>13</v>
      </c>
      <c r="G468" s="257">
        <v>13</v>
      </c>
    </row>
    <row r="469" spans="1:7" ht="9.75" customHeight="1" x14ac:dyDescent="0.3">
      <c r="A469" s="255"/>
      <c r="B469" s="22"/>
      <c r="C469" s="22" t="s">
        <v>210</v>
      </c>
      <c r="D469" s="256">
        <v>16</v>
      </c>
      <c r="E469" s="256">
        <v>16</v>
      </c>
      <c r="F469" s="256">
        <v>22</v>
      </c>
      <c r="G469" s="257">
        <v>22</v>
      </c>
    </row>
    <row r="470" spans="1:7" ht="9.75" customHeight="1" x14ac:dyDescent="0.3">
      <c r="A470" s="255"/>
      <c r="B470" s="22"/>
      <c r="C470" s="22" t="s">
        <v>119</v>
      </c>
      <c r="D470" s="256">
        <v>4</v>
      </c>
      <c r="E470" s="256">
        <v>4</v>
      </c>
      <c r="F470" s="256">
        <v>5</v>
      </c>
      <c r="G470" s="257">
        <v>5</v>
      </c>
    </row>
    <row r="471" spans="1:7" ht="9.75" customHeight="1" x14ac:dyDescent="0.3">
      <c r="A471" s="255"/>
      <c r="B471" s="22" t="s">
        <v>232</v>
      </c>
      <c r="C471" s="22" t="s">
        <v>113</v>
      </c>
      <c r="D471" s="256">
        <v>2</v>
      </c>
      <c r="E471" s="256">
        <v>2</v>
      </c>
      <c r="F471" s="256">
        <v>3</v>
      </c>
      <c r="G471" s="257">
        <v>3</v>
      </c>
    </row>
    <row r="472" spans="1:7" ht="9.75" customHeight="1" x14ac:dyDescent="0.3">
      <c r="A472" s="255"/>
      <c r="B472" s="22" t="s">
        <v>274</v>
      </c>
      <c r="C472" s="315" t="s">
        <v>275</v>
      </c>
      <c r="D472" s="285"/>
      <c r="E472" s="285">
        <v>15</v>
      </c>
      <c r="F472" s="285"/>
      <c r="G472" s="286">
        <v>30</v>
      </c>
    </row>
    <row r="473" spans="1:7" ht="9.75" customHeight="1" x14ac:dyDescent="0.3">
      <c r="A473" s="255"/>
      <c r="B473" s="22"/>
      <c r="C473" s="284" t="s">
        <v>276</v>
      </c>
      <c r="D473" s="285"/>
      <c r="E473" s="285">
        <f>15*900/1000</f>
        <v>13.5</v>
      </c>
      <c r="F473" s="285"/>
      <c r="G473" s="286">
        <v>27</v>
      </c>
    </row>
    <row r="474" spans="1:7" ht="9.75" customHeight="1" x14ac:dyDescent="0.3">
      <c r="A474" s="255"/>
      <c r="B474" s="22"/>
      <c r="C474" s="53" t="s">
        <v>67</v>
      </c>
      <c r="D474" s="280">
        <f>250*E473/1000</f>
        <v>3.375</v>
      </c>
      <c r="E474" s="280">
        <f>250*E473/1000</f>
        <v>3.375</v>
      </c>
      <c r="F474" s="280">
        <f>250*G473/1000</f>
        <v>6.75</v>
      </c>
      <c r="G474" s="281">
        <f>250*G473/1000</f>
        <v>6.75</v>
      </c>
    </row>
    <row r="475" spans="1:7" ht="9.75" customHeight="1" x14ac:dyDescent="0.3">
      <c r="A475" s="255"/>
      <c r="B475" s="22"/>
      <c r="C475" s="22" t="s">
        <v>119</v>
      </c>
      <c r="D475" s="256">
        <f>75*E473/1000</f>
        <v>1.0125</v>
      </c>
      <c r="E475" s="256">
        <f>75*E473/1000</f>
        <v>1.0125</v>
      </c>
      <c r="F475" s="256">
        <f>75*G473/1000</f>
        <v>2.0249999999999999</v>
      </c>
      <c r="G475" s="257">
        <f>75*G473/1000</f>
        <v>2.0249999999999999</v>
      </c>
    </row>
    <row r="476" spans="1:7" ht="9.75" customHeight="1" x14ac:dyDescent="0.3">
      <c r="A476" s="255"/>
      <c r="B476" s="22"/>
      <c r="C476" s="22" t="s">
        <v>69</v>
      </c>
      <c r="D476" s="256">
        <f>750*E473/1000</f>
        <v>10.125</v>
      </c>
      <c r="E476" s="256">
        <f>750*E473/1000</f>
        <v>10.125</v>
      </c>
      <c r="F476" s="256">
        <f>750*G473/1000</f>
        <v>20.25</v>
      </c>
      <c r="G476" s="257">
        <f>750*G473/1000</f>
        <v>20.25</v>
      </c>
    </row>
    <row r="477" spans="1:7" ht="9.75" customHeight="1" x14ac:dyDescent="0.3">
      <c r="A477" s="255"/>
      <c r="B477" s="22"/>
      <c r="C477" s="53" t="s">
        <v>58</v>
      </c>
      <c r="D477" s="280">
        <f>8*E472/1000</f>
        <v>0.12</v>
      </c>
      <c r="E477" s="280">
        <f>8*E472/1000</f>
        <v>0.12</v>
      </c>
      <c r="F477" s="280">
        <f>8*G472/1000</f>
        <v>0.24</v>
      </c>
      <c r="G477" s="281">
        <f>8*G472/1000</f>
        <v>0.24</v>
      </c>
    </row>
    <row r="478" spans="1:7" ht="9.75" customHeight="1" x14ac:dyDescent="0.3">
      <c r="A478" s="255"/>
      <c r="B478" s="22"/>
      <c r="C478" s="53" t="s">
        <v>62</v>
      </c>
      <c r="D478" s="280">
        <f>238*E472/1000</f>
        <v>3.57</v>
      </c>
      <c r="E478" s="280">
        <f>200*E472/1000</f>
        <v>3</v>
      </c>
      <c r="F478" s="280">
        <f>238*G472/1000</f>
        <v>7.14</v>
      </c>
      <c r="G478" s="281">
        <f>200*G472/1000</f>
        <v>6</v>
      </c>
    </row>
    <row r="479" spans="1:7" ht="9.75" customHeight="1" x14ac:dyDescent="0.3">
      <c r="A479" s="255"/>
      <c r="B479" s="22"/>
      <c r="C479" s="53" t="s">
        <v>154</v>
      </c>
      <c r="D479" s="280">
        <f>20*E472/1000</f>
        <v>0.3</v>
      </c>
      <c r="E479" s="280">
        <f>20*E472/1000</f>
        <v>0.3</v>
      </c>
      <c r="F479" s="280">
        <f>20*G472/1000</f>
        <v>0.6</v>
      </c>
      <c r="G479" s="281">
        <f>20*G472/1000</f>
        <v>0.6</v>
      </c>
    </row>
    <row r="480" spans="1:7" ht="9.75" customHeight="1" x14ac:dyDescent="0.3">
      <c r="A480" s="255"/>
      <c r="B480" s="22"/>
      <c r="C480" s="53" t="s">
        <v>115</v>
      </c>
      <c r="D480" s="280">
        <v>0</v>
      </c>
      <c r="E480" s="280">
        <v>0</v>
      </c>
      <c r="F480" s="280">
        <f>40*G473/1000</f>
        <v>1.08</v>
      </c>
      <c r="G480" s="281">
        <f>40*G473/1000</f>
        <v>1.08</v>
      </c>
    </row>
    <row r="481" spans="1:7" ht="9.75" customHeight="1" x14ac:dyDescent="0.3">
      <c r="A481" s="298">
        <v>372</v>
      </c>
      <c r="B481" s="22" t="s">
        <v>370</v>
      </c>
      <c r="C481" s="22" t="s">
        <v>195</v>
      </c>
      <c r="D481" s="256">
        <f>227*150/1000</f>
        <v>34.049999999999997</v>
      </c>
      <c r="E481" s="256">
        <f>200*150/1000</f>
        <v>30</v>
      </c>
      <c r="F481" s="256">
        <f>227*180/1000</f>
        <v>40.86</v>
      </c>
      <c r="G481" s="257">
        <f>200*180/1000</f>
        <v>36</v>
      </c>
    </row>
    <row r="482" spans="1:7" ht="9.75" customHeight="1" x14ac:dyDescent="0.3">
      <c r="A482" s="255"/>
      <c r="B482" s="22"/>
      <c r="C482" s="22" t="s">
        <v>57</v>
      </c>
      <c r="D482" s="256">
        <f>100*150/1000</f>
        <v>15</v>
      </c>
      <c r="E482" s="256">
        <f>100*150/1000</f>
        <v>15</v>
      </c>
      <c r="F482" s="256">
        <f>100*180/1000</f>
        <v>18</v>
      </c>
      <c r="G482" s="257">
        <f>100*180/1000</f>
        <v>18</v>
      </c>
    </row>
    <row r="483" spans="1:7" ht="9.75" customHeight="1" x14ac:dyDescent="0.3">
      <c r="A483" s="255"/>
      <c r="B483" s="22"/>
      <c r="C483" s="22" t="s">
        <v>56</v>
      </c>
      <c r="D483" s="256">
        <f>830*150/1000</f>
        <v>124.5</v>
      </c>
      <c r="E483" s="256">
        <f>830*150/1000</f>
        <v>124.5</v>
      </c>
      <c r="F483" s="256">
        <f>830*180/1000</f>
        <v>149.4</v>
      </c>
      <c r="G483" s="257">
        <f>830*180/1000</f>
        <v>149.4</v>
      </c>
    </row>
    <row r="484" spans="1:7" ht="9.75" customHeight="1" x14ac:dyDescent="0.3">
      <c r="A484" s="255">
        <v>1</v>
      </c>
      <c r="B484" s="22" t="s">
        <v>76</v>
      </c>
      <c r="C484" s="22" t="s">
        <v>50</v>
      </c>
      <c r="D484" s="256">
        <v>20</v>
      </c>
      <c r="E484" s="256">
        <v>20</v>
      </c>
      <c r="F484" s="256">
        <v>25</v>
      </c>
      <c r="G484" s="257">
        <v>25</v>
      </c>
    </row>
    <row r="485" spans="1:7" ht="9.75" customHeight="1" thickBot="1" x14ac:dyDescent="0.35">
      <c r="A485" s="96">
        <v>1</v>
      </c>
      <c r="B485" s="26" t="s">
        <v>117</v>
      </c>
      <c r="C485" s="26" t="s">
        <v>116</v>
      </c>
      <c r="D485" s="258">
        <v>17</v>
      </c>
      <c r="E485" s="258">
        <v>17</v>
      </c>
      <c r="F485" s="258">
        <v>21</v>
      </c>
      <c r="G485" s="259">
        <v>21</v>
      </c>
    </row>
    <row r="486" spans="1:7" ht="9.75" customHeight="1" x14ac:dyDescent="0.3">
      <c r="A486" s="270">
        <v>294</v>
      </c>
      <c r="B486" s="44" t="s">
        <v>255</v>
      </c>
      <c r="C486" s="316" t="s">
        <v>142</v>
      </c>
      <c r="D486" s="253">
        <f>113</f>
        <v>113</v>
      </c>
      <c r="E486" s="253">
        <f>94</f>
        <v>94</v>
      </c>
      <c r="F486" s="253">
        <f>136</f>
        <v>136</v>
      </c>
      <c r="G486" s="254">
        <f>113</f>
        <v>113</v>
      </c>
    </row>
    <row r="487" spans="1:7" ht="9.75" customHeight="1" x14ac:dyDescent="0.3">
      <c r="A487" s="255" t="s">
        <v>150</v>
      </c>
      <c r="B487" s="22" t="s">
        <v>431</v>
      </c>
      <c r="C487" s="278" t="s">
        <v>118</v>
      </c>
      <c r="D487" s="256">
        <f>19</f>
        <v>19</v>
      </c>
      <c r="E487" s="256">
        <f>53</f>
        <v>53</v>
      </c>
      <c r="F487" s="256">
        <f>23</f>
        <v>23</v>
      </c>
      <c r="G487" s="257">
        <f>64</f>
        <v>64</v>
      </c>
    </row>
    <row r="488" spans="1:7" ht="9.75" customHeight="1" x14ac:dyDescent="0.3">
      <c r="A488" s="255"/>
      <c r="B488" s="22"/>
      <c r="C488" s="278" t="s">
        <v>62</v>
      </c>
      <c r="D488" s="256">
        <v>45</v>
      </c>
      <c r="E488" s="256">
        <f>38</f>
        <v>38</v>
      </c>
      <c r="F488" s="256">
        <f>54</f>
        <v>54</v>
      </c>
      <c r="G488" s="257">
        <f>45</f>
        <v>45</v>
      </c>
    </row>
    <row r="489" spans="1:7" ht="9.75" customHeight="1" x14ac:dyDescent="0.3">
      <c r="A489" s="255"/>
      <c r="B489" s="22"/>
      <c r="C489" s="22" t="s">
        <v>154</v>
      </c>
      <c r="D489" s="256">
        <v>4</v>
      </c>
      <c r="E489" s="256">
        <v>4</v>
      </c>
      <c r="F489" s="256">
        <v>5</v>
      </c>
      <c r="G489" s="257">
        <v>5</v>
      </c>
    </row>
    <row r="490" spans="1:7" ht="9.75" customHeight="1" x14ac:dyDescent="0.3">
      <c r="A490" s="255"/>
      <c r="B490" s="22"/>
      <c r="C490" s="22" t="s">
        <v>133</v>
      </c>
      <c r="D490" s="256">
        <v>8</v>
      </c>
      <c r="E490" s="256">
        <f>8</f>
        <v>8</v>
      </c>
      <c r="F490" s="256">
        <f>10</f>
        <v>10</v>
      </c>
      <c r="G490" s="257">
        <f>10</f>
        <v>10</v>
      </c>
    </row>
    <row r="491" spans="1:7" ht="9.75" customHeight="1" x14ac:dyDescent="0.3">
      <c r="A491" s="255"/>
      <c r="B491" s="22" t="s">
        <v>279</v>
      </c>
      <c r="C491" s="22" t="s">
        <v>278</v>
      </c>
      <c r="D491" s="256">
        <v>2</v>
      </c>
      <c r="E491" s="256">
        <f>2</f>
        <v>2</v>
      </c>
      <c r="F491" s="256">
        <f>3</f>
        <v>3</v>
      </c>
      <c r="G491" s="257">
        <f>3</f>
        <v>3</v>
      </c>
    </row>
    <row r="492" spans="1:7" ht="9.75" customHeight="1" x14ac:dyDescent="0.3">
      <c r="A492" s="255"/>
      <c r="B492" s="22"/>
      <c r="C492" s="22" t="s">
        <v>282</v>
      </c>
      <c r="D492" s="256">
        <v>5</v>
      </c>
      <c r="E492" s="256">
        <v>5</v>
      </c>
      <c r="F492" s="256">
        <v>5</v>
      </c>
      <c r="G492" s="257">
        <v>5</v>
      </c>
    </row>
    <row r="493" spans="1:7" ht="9.75" customHeight="1" x14ac:dyDescent="0.3">
      <c r="A493" s="183">
        <v>55</v>
      </c>
      <c r="B493" s="22" t="s">
        <v>378</v>
      </c>
      <c r="C493" s="22" t="s">
        <v>114</v>
      </c>
      <c r="D493" s="256">
        <f>350*45/1000</f>
        <v>15.75</v>
      </c>
      <c r="E493" s="256">
        <f>265*45/1000</f>
        <v>11.925000000000001</v>
      </c>
      <c r="F493" s="256">
        <f>350*60/1000</f>
        <v>21</v>
      </c>
      <c r="G493" s="257">
        <f>265*60/1000</f>
        <v>15.9</v>
      </c>
    </row>
    <row r="494" spans="1:7" ht="9.75" customHeight="1" x14ac:dyDescent="0.3">
      <c r="A494" s="255"/>
      <c r="B494" s="22" t="s">
        <v>406</v>
      </c>
      <c r="C494" s="22" t="s">
        <v>64</v>
      </c>
      <c r="D494" s="256">
        <f>530*334/265*45/1000</f>
        <v>30.06</v>
      </c>
      <c r="E494" s="256">
        <f>265*2*45/1000</f>
        <v>23.85</v>
      </c>
      <c r="F494" s="256">
        <f>530*334/265*60/1000</f>
        <v>40.08</v>
      </c>
      <c r="G494" s="257">
        <f>265*2*60/1000</f>
        <v>31.8</v>
      </c>
    </row>
    <row r="495" spans="1:7" ht="9.75" customHeight="1" x14ac:dyDescent="0.3">
      <c r="A495" s="255"/>
      <c r="B495" s="22"/>
      <c r="C495" s="22" t="s">
        <v>62</v>
      </c>
      <c r="D495" s="256">
        <f>226*45/1000</f>
        <v>10.17</v>
      </c>
      <c r="E495" s="256">
        <f>190*45/1000</f>
        <v>8.5500000000000007</v>
      </c>
      <c r="F495" s="256">
        <f>226*60/1000</f>
        <v>13.56</v>
      </c>
      <c r="G495" s="257">
        <f>190*60/1000</f>
        <v>11.4</v>
      </c>
    </row>
    <row r="496" spans="1:7" ht="9.75" customHeight="1" x14ac:dyDescent="0.3">
      <c r="A496" s="255"/>
      <c r="B496" s="22"/>
      <c r="C496" s="22" t="s">
        <v>388</v>
      </c>
      <c r="D496" s="256">
        <f>12*45/1000</f>
        <v>0.54</v>
      </c>
      <c r="E496" s="256">
        <f>9*45/1000</f>
        <v>0.40500000000000003</v>
      </c>
      <c r="F496" s="256">
        <f>12*45/1000</f>
        <v>0.54</v>
      </c>
      <c r="G496" s="257">
        <f>9*45/1000</f>
        <v>0.40500000000000003</v>
      </c>
    </row>
    <row r="497" spans="1:7" ht="9.75" customHeight="1" x14ac:dyDescent="0.3">
      <c r="A497" s="255"/>
      <c r="B497" s="22"/>
      <c r="C497" s="22" t="s">
        <v>113</v>
      </c>
      <c r="D497" s="256">
        <f>45*45/1000</f>
        <v>2.0249999999999999</v>
      </c>
      <c r="E497" s="256">
        <f>45*45/1000</f>
        <v>2.0249999999999999</v>
      </c>
      <c r="F497" s="256">
        <f>45*60/1000</f>
        <v>2.7</v>
      </c>
      <c r="G497" s="257">
        <f>45*60/1000</f>
        <v>2.7</v>
      </c>
    </row>
    <row r="498" spans="1:7" ht="9.75" customHeight="1" x14ac:dyDescent="0.3">
      <c r="A498" s="183">
        <v>491</v>
      </c>
      <c r="B498" s="22" t="s">
        <v>462</v>
      </c>
      <c r="C498" s="22" t="s">
        <v>119</v>
      </c>
      <c r="D498" s="256">
        <f>24/2</f>
        <v>12</v>
      </c>
      <c r="E498" s="256">
        <f>24/2</f>
        <v>12</v>
      </c>
      <c r="F498" s="256">
        <f>24/2</f>
        <v>12</v>
      </c>
      <c r="G498" s="257">
        <f>24/2</f>
        <v>12</v>
      </c>
    </row>
    <row r="499" spans="1:7" ht="9.75" customHeight="1" x14ac:dyDescent="0.3">
      <c r="A499" s="183"/>
      <c r="B499" s="22">
        <v>25</v>
      </c>
      <c r="C499" s="22" t="s">
        <v>57</v>
      </c>
      <c r="D499" s="256">
        <f>850/200</f>
        <v>4.25</v>
      </c>
      <c r="E499" s="256">
        <f>850/200</f>
        <v>4.25</v>
      </c>
      <c r="F499" s="256">
        <f>850/200</f>
        <v>4.25</v>
      </c>
      <c r="G499" s="257">
        <f>850/200</f>
        <v>4.25</v>
      </c>
    </row>
    <row r="500" spans="1:7" ht="9.75" customHeight="1" x14ac:dyDescent="0.3">
      <c r="A500" s="183"/>
      <c r="B500" s="22"/>
      <c r="C500" s="22" t="s">
        <v>154</v>
      </c>
      <c r="D500" s="256">
        <f>1300/200</f>
        <v>6.5</v>
      </c>
      <c r="E500" s="256">
        <f>1300/200</f>
        <v>6.5</v>
      </c>
      <c r="F500" s="256">
        <f>1300/200</f>
        <v>6.5</v>
      </c>
      <c r="G500" s="257">
        <f>1300/200</f>
        <v>6.5</v>
      </c>
    </row>
    <row r="501" spans="1:7" ht="9.75" customHeight="1" x14ac:dyDescent="0.3">
      <c r="A501" s="183"/>
      <c r="B501" s="22"/>
      <c r="C501" s="22" t="s">
        <v>488</v>
      </c>
      <c r="D501" s="256">
        <f>345/200</f>
        <v>1.7250000000000001</v>
      </c>
      <c r="E501" s="256">
        <f>345/200</f>
        <v>1.7250000000000001</v>
      </c>
      <c r="F501" s="256">
        <f>345/200</f>
        <v>1.7250000000000001</v>
      </c>
      <c r="G501" s="257">
        <f>345/200</f>
        <v>1.7250000000000001</v>
      </c>
    </row>
    <row r="502" spans="1:7" ht="9.75" customHeight="1" x14ac:dyDescent="0.3">
      <c r="A502" s="183"/>
      <c r="B502" s="22"/>
      <c r="C502" s="22" t="s">
        <v>489</v>
      </c>
      <c r="D502" s="271">
        <f>7.1/200</f>
        <v>3.5499999999999997E-2</v>
      </c>
      <c r="E502" s="271">
        <f>7.1/200</f>
        <v>3.5499999999999997E-2</v>
      </c>
      <c r="F502" s="271">
        <f>7.1/200</f>
        <v>3.5499999999999997E-2</v>
      </c>
      <c r="G502" s="272">
        <f>7.1/200</f>
        <v>3.5499999999999997E-2</v>
      </c>
    </row>
    <row r="503" spans="1:7" ht="9.75" customHeight="1" x14ac:dyDescent="0.3">
      <c r="A503" s="183"/>
      <c r="B503" s="22"/>
      <c r="C503" s="22" t="s">
        <v>469</v>
      </c>
      <c r="D503" s="271">
        <f>7.8/200</f>
        <v>3.9E-2</v>
      </c>
      <c r="E503" s="271">
        <f>7.8/200</f>
        <v>3.9E-2</v>
      </c>
      <c r="F503" s="271">
        <f>7.8/200</f>
        <v>3.9E-2</v>
      </c>
      <c r="G503" s="272">
        <f>7.8/200</f>
        <v>3.9E-2</v>
      </c>
    </row>
    <row r="504" spans="1:7" ht="9.75" customHeight="1" x14ac:dyDescent="0.3">
      <c r="A504" s="183"/>
      <c r="B504" s="22"/>
      <c r="C504" s="22" t="s">
        <v>58</v>
      </c>
      <c r="D504" s="271">
        <f>3/200</f>
        <v>1.4999999999999999E-2</v>
      </c>
      <c r="E504" s="271">
        <f>3/200</f>
        <v>1.4999999999999999E-2</v>
      </c>
      <c r="F504" s="271">
        <f>3/200</f>
        <v>1.4999999999999999E-2</v>
      </c>
      <c r="G504" s="272">
        <f>3/200</f>
        <v>1.4999999999999999E-2</v>
      </c>
    </row>
    <row r="505" spans="1:7" ht="9.75" customHeight="1" x14ac:dyDescent="0.3">
      <c r="A505" s="183"/>
      <c r="B505" s="22"/>
      <c r="C505" s="22" t="s">
        <v>446</v>
      </c>
      <c r="D505" s="256">
        <f>1000/200</f>
        <v>5</v>
      </c>
      <c r="E505" s="256">
        <f>1000/200</f>
        <v>5</v>
      </c>
      <c r="F505" s="256">
        <f>1000/200</f>
        <v>5</v>
      </c>
      <c r="G505" s="257">
        <f>1000/200</f>
        <v>5</v>
      </c>
    </row>
    <row r="506" spans="1:7" ht="9.75" customHeight="1" x14ac:dyDescent="0.3">
      <c r="A506" s="183"/>
      <c r="B506" s="22"/>
      <c r="C506" s="22" t="s">
        <v>206</v>
      </c>
      <c r="D506" s="256"/>
      <c r="E506" s="285">
        <f>5800/200</f>
        <v>29</v>
      </c>
      <c r="F506" s="285"/>
      <c r="G506" s="286">
        <f>5800/200</f>
        <v>29</v>
      </c>
    </row>
    <row r="507" spans="1:7" ht="9.75" customHeight="1" x14ac:dyDescent="0.3">
      <c r="A507" s="183">
        <v>401</v>
      </c>
      <c r="B507" s="22" t="s">
        <v>380</v>
      </c>
      <c r="C507" s="22" t="s">
        <v>208</v>
      </c>
      <c r="D507" s="256">
        <v>150</v>
      </c>
      <c r="E507" s="256">
        <v>150</v>
      </c>
      <c r="F507" s="256">
        <v>180</v>
      </c>
      <c r="G507" s="257">
        <v>180</v>
      </c>
    </row>
    <row r="508" spans="1:7" ht="33" customHeight="1" thickBot="1" x14ac:dyDescent="0.35">
      <c r="A508" s="96"/>
      <c r="B508" s="26" t="s">
        <v>18</v>
      </c>
      <c r="C508" s="26" t="s">
        <v>54</v>
      </c>
      <c r="D508" s="258">
        <v>17</v>
      </c>
      <c r="E508" s="258">
        <v>17</v>
      </c>
      <c r="F508" s="258">
        <v>21</v>
      </c>
      <c r="G508" s="259">
        <v>21</v>
      </c>
    </row>
    <row r="509" spans="1:7" ht="12" customHeight="1" thickBot="1" x14ac:dyDescent="0.35">
      <c r="A509" s="161"/>
      <c r="B509" s="590" t="s">
        <v>7</v>
      </c>
      <c r="C509" s="162"/>
      <c r="D509" s="583" t="s">
        <v>72</v>
      </c>
      <c r="E509" s="584"/>
      <c r="F509" s="585" t="s">
        <v>73</v>
      </c>
      <c r="G509" s="584"/>
    </row>
    <row r="510" spans="1:7" ht="12" customHeight="1" thickBot="1" x14ac:dyDescent="0.35">
      <c r="A510" s="211" t="s">
        <v>148</v>
      </c>
      <c r="B510" s="602"/>
      <c r="C510" s="212"/>
      <c r="D510" s="175" t="s">
        <v>96</v>
      </c>
      <c r="E510" s="176" t="s">
        <v>48</v>
      </c>
      <c r="F510" s="175" t="s">
        <v>96</v>
      </c>
      <c r="G510" s="176" t="s">
        <v>48</v>
      </c>
    </row>
    <row r="511" spans="1:7" ht="12" customHeight="1" x14ac:dyDescent="0.3">
      <c r="A511" s="95">
        <v>215</v>
      </c>
      <c r="B511" s="44" t="s">
        <v>132</v>
      </c>
      <c r="C511" s="44" t="s">
        <v>99</v>
      </c>
      <c r="D511" s="253">
        <f>60*150/80</f>
        <v>112.5</v>
      </c>
      <c r="E511" s="253">
        <f>60*150/80</f>
        <v>112.5</v>
      </c>
      <c r="F511" s="253">
        <f>60*150/80</f>
        <v>112.5</v>
      </c>
      <c r="G511" s="254">
        <f>60*150/80</f>
        <v>112.5</v>
      </c>
    </row>
    <row r="512" spans="1:7" ht="12" customHeight="1" x14ac:dyDescent="0.3">
      <c r="A512" s="255"/>
      <c r="B512" s="22" t="s">
        <v>501</v>
      </c>
      <c r="C512" s="22" t="s">
        <v>163</v>
      </c>
      <c r="D512" s="256">
        <f>23*150/80</f>
        <v>43.125</v>
      </c>
      <c r="E512" s="256">
        <f>23*150/80</f>
        <v>43.125</v>
      </c>
      <c r="F512" s="256">
        <f>23*150/80</f>
        <v>43.125</v>
      </c>
      <c r="G512" s="257">
        <f>23*150/80</f>
        <v>43.125</v>
      </c>
    </row>
    <row r="513" spans="1:7" ht="12" customHeight="1" x14ac:dyDescent="0.3">
      <c r="A513" s="255"/>
      <c r="B513" s="22"/>
      <c r="C513" s="22" t="s">
        <v>153</v>
      </c>
      <c r="D513" s="256">
        <f>D512*0.12</f>
        <v>5.1749999999999998</v>
      </c>
      <c r="E513" s="256">
        <f>E512*0.12</f>
        <v>5.1749999999999998</v>
      </c>
      <c r="F513" s="256">
        <f>F512*0.12</f>
        <v>5.1749999999999998</v>
      </c>
      <c r="G513" s="257">
        <f>G512*0.12</f>
        <v>5.1749999999999998</v>
      </c>
    </row>
    <row r="514" spans="1:7" ht="12" customHeight="1" x14ac:dyDescent="0.3">
      <c r="A514" s="255"/>
      <c r="B514" s="22"/>
      <c r="C514" s="284" t="s">
        <v>407</v>
      </c>
      <c r="D514" s="285"/>
      <c r="E514" s="285">
        <f>83*150/80</f>
        <v>155.625</v>
      </c>
      <c r="F514" s="285"/>
      <c r="G514" s="286">
        <f>83*150/80</f>
        <v>155.625</v>
      </c>
    </row>
    <row r="515" spans="1:7" ht="12" customHeight="1" x14ac:dyDescent="0.3">
      <c r="A515" s="255"/>
      <c r="B515" s="22"/>
      <c r="C515" s="53" t="s">
        <v>113</v>
      </c>
      <c r="D515" s="256">
        <f>4*150/80</f>
        <v>7.5</v>
      </c>
      <c r="E515" s="256">
        <f>4*150/80</f>
        <v>7.5</v>
      </c>
      <c r="F515" s="256">
        <f>4*150/80</f>
        <v>7.5</v>
      </c>
      <c r="G515" s="257">
        <f>4*150/80</f>
        <v>7.5</v>
      </c>
    </row>
    <row r="516" spans="1:7" ht="12" customHeight="1" x14ac:dyDescent="0.3">
      <c r="A516" s="255"/>
      <c r="B516" s="22"/>
      <c r="C516" s="22" t="s">
        <v>338</v>
      </c>
      <c r="D516" s="256">
        <v>5</v>
      </c>
      <c r="E516" s="256">
        <v>5</v>
      </c>
      <c r="F516" s="256">
        <v>5</v>
      </c>
      <c r="G516" s="257">
        <v>5</v>
      </c>
    </row>
    <row r="517" spans="1:7" ht="12" customHeight="1" x14ac:dyDescent="0.3">
      <c r="A517" s="255">
        <v>1</v>
      </c>
      <c r="B517" s="22" t="s">
        <v>473</v>
      </c>
      <c r="C517" s="22" t="s">
        <v>474</v>
      </c>
      <c r="D517" s="256">
        <v>24</v>
      </c>
      <c r="E517" s="256">
        <v>24</v>
      </c>
      <c r="F517" s="256">
        <v>30</v>
      </c>
      <c r="G517" s="257">
        <v>30</v>
      </c>
    </row>
    <row r="518" spans="1:7" ht="12" customHeight="1" x14ac:dyDescent="0.3">
      <c r="A518" s="255">
        <v>7</v>
      </c>
      <c r="B518" s="22" t="s">
        <v>87</v>
      </c>
      <c r="C518" s="309" t="s">
        <v>0</v>
      </c>
      <c r="D518" s="256">
        <f>10.6/2</f>
        <v>5.3</v>
      </c>
      <c r="E518" s="256">
        <f>10/2</f>
        <v>5</v>
      </c>
      <c r="F518" s="256">
        <v>5.3</v>
      </c>
      <c r="G518" s="257">
        <v>5</v>
      </c>
    </row>
    <row r="519" spans="1:7" ht="12" customHeight="1" x14ac:dyDescent="0.3">
      <c r="A519" s="279">
        <v>396</v>
      </c>
      <c r="B519" s="22" t="s">
        <v>217</v>
      </c>
      <c r="C519" s="53" t="s">
        <v>339</v>
      </c>
      <c r="D519" s="256">
        <v>2</v>
      </c>
      <c r="E519" s="256">
        <v>2</v>
      </c>
      <c r="F519" s="256">
        <v>3</v>
      </c>
      <c r="G519" s="257">
        <v>3</v>
      </c>
    </row>
    <row r="520" spans="1:7" ht="12" customHeight="1" x14ac:dyDescent="0.3">
      <c r="A520" s="255"/>
      <c r="B520" s="22"/>
      <c r="C520" s="53" t="s">
        <v>340</v>
      </c>
      <c r="D520" s="256">
        <v>28</v>
      </c>
      <c r="E520" s="256">
        <v>28</v>
      </c>
      <c r="F520" s="256">
        <v>34</v>
      </c>
      <c r="G520" s="257">
        <v>34</v>
      </c>
    </row>
    <row r="521" spans="1:7" ht="12" customHeight="1" thickBot="1" x14ac:dyDescent="0.35">
      <c r="A521" s="96"/>
      <c r="B521" s="26"/>
      <c r="C521" s="67" t="s">
        <v>56</v>
      </c>
      <c r="D521" s="258">
        <v>150</v>
      </c>
      <c r="E521" s="258">
        <v>150</v>
      </c>
      <c r="F521" s="258">
        <v>180</v>
      </c>
      <c r="G521" s="259">
        <v>180</v>
      </c>
    </row>
    <row r="522" spans="1:7" ht="12" customHeight="1" thickBot="1" x14ac:dyDescent="0.35">
      <c r="A522" s="317">
        <v>399</v>
      </c>
      <c r="B522" s="197" t="s">
        <v>545</v>
      </c>
      <c r="C522" s="318" t="s">
        <v>49</v>
      </c>
      <c r="D522" s="319">
        <v>200</v>
      </c>
      <c r="E522" s="312">
        <v>200</v>
      </c>
      <c r="F522" s="428">
        <v>180</v>
      </c>
      <c r="G522" s="431">
        <v>180</v>
      </c>
    </row>
    <row r="523" spans="1:7" ht="12" customHeight="1" x14ac:dyDescent="0.3">
      <c r="A523" s="323" t="s">
        <v>294</v>
      </c>
      <c r="B523" s="44" t="s">
        <v>546</v>
      </c>
      <c r="C523" s="44" t="s">
        <v>503</v>
      </c>
      <c r="D523" s="253">
        <f>105*45/100</f>
        <v>47.25</v>
      </c>
      <c r="E523" s="253">
        <v>45</v>
      </c>
      <c r="F523" s="253"/>
      <c r="G523" s="254"/>
    </row>
    <row r="524" spans="1:7" ht="12" customHeight="1" x14ac:dyDescent="0.3">
      <c r="A524" s="255">
        <v>12</v>
      </c>
      <c r="B524" s="22" t="s">
        <v>490</v>
      </c>
      <c r="C524" s="22" t="s">
        <v>491</v>
      </c>
      <c r="D524" s="256"/>
      <c r="E524" s="256"/>
      <c r="F524" s="407">
        <f>1329*50/1000</f>
        <v>66.45</v>
      </c>
      <c r="G524" s="408">
        <f>93050/1000</f>
        <v>93.05</v>
      </c>
    </row>
    <row r="525" spans="1:7" ht="12" customHeight="1" x14ac:dyDescent="0.3">
      <c r="A525" s="255"/>
      <c r="B525" s="22">
        <v>50</v>
      </c>
      <c r="C525" s="22" t="s">
        <v>57</v>
      </c>
      <c r="D525" s="256"/>
      <c r="E525" s="256"/>
      <c r="F525" s="407">
        <f>20*50/1000</f>
        <v>1</v>
      </c>
      <c r="G525" s="408">
        <f>20*50/1000</f>
        <v>1</v>
      </c>
    </row>
    <row r="526" spans="1:7" ht="12" customHeight="1" x14ac:dyDescent="0.3">
      <c r="A526" s="255"/>
      <c r="B526" s="22"/>
      <c r="C526" s="22" t="s">
        <v>113</v>
      </c>
      <c r="D526" s="256"/>
      <c r="E526" s="256"/>
      <c r="F526" s="407">
        <f>60*50/1000</f>
        <v>3</v>
      </c>
      <c r="G526" s="408">
        <f>60*50/1000</f>
        <v>3</v>
      </c>
    </row>
    <row r="527" spans="1:7" ht="12" customHeight="1" x14ac:dyDescent="0.3">
      <c r="A527" s="183">
        <v>76</v>
      </c>
      <c r="B527" s="22" t="s">
        <v>264</v>
      </c>
      <c r="C527" s="22" t="s">
        <v>185</v>
      </c>
      <c r="D527" s="256">
        <f>E527*1.33</f>
        <v>71.820000000000007</v>
      </c>
      <c r="E527" s="256">
        <f>300*180/1000</f>
        <v>54</v>
      </c>
      <c r="F527" s="256">
        <f>G527*1.33</f>
        <v>79.800000000000011</v>
      </c>
      <c r="G527" s="257">
        <f>300*200/1000</f>
        <v>60</v>
      </c>
    </row>
    <row r="528" spans="1:7" ht="12" customHeight="1" x14ac:dyDescent="0.3">
      <c r="A528" s="255"/>
      <c r="B528" s="413" t="s">
        <v>547</v>
      </c>
      <c r="C528" s="22" t="s">
        <v>186</v>
      </c>
      <c r="D528" s="256">
        <f>E528*1.43</f>
        <v>77.22</v>
      </c>
      <c r="E528" s="256">
        <f>300*180/1000</f>
        <v>54</v>
      </c>
      <c r="F528" s="256">
        <f>G528*1.43</f>
        <v>85.8</v>
      </c>
      <c r="G528" s="257">
        <f>300*200/1000</f>
        <v>60</v>
      </c>
    </row>
    <row r="529" spans="1:7" ht="12" customHeight="1" x14ac:dyDescent="0.3">
      <c r="A529" s="255"/>
      <c r="B529" s="53"/>
      <c r="C529" s="22" t="s">
        <v>187</v>
      </c>
      <c r="D529" s="256">
        <f>E529*1.54</f>
        <v>83.16</v>
      </c>
      <c r="E529" s="256">
        <f>300*180/1000</f>
        <v>54</v>
      </c>
      <c r="F529" s="256">
        <f>G529*1.54</f>
        <v>92.4</v>
      </c>
      <c r="G529" s="257">
        <f>300*200/1000</f>
        <v>60</v>
      </c>
    </row>
    <row r="530" spans="1:7" ht="12" customHeight="1" x14ac:dyDescent="0.3">
      <c r="A530" s="255"/>
      <c r="B530" s="53"/>
      <c r="C530" s="22" t="s">
        <v>188</v>
      </c>
      <c r="D530" s="256">
        <f>E530*1.67</f>
        <v>90.179999999999993</v>
      </c>
      <c r="E530" s="256">
        <f>300*180/1000</f>
        <v>54</v>
      </c>
      <c r="F530" s="256">
        <f>G530*1.67</f>
        <v>100.19999999999999</v>
      </c>
      <c r="G530" s="257">
        <f>300*200/1000</f>
        <v>60</v>
      </c>
    </row>
    <row r="531" spans="1:7" ht="12" customHeight="1" x14ac:dyDescent="0.3">
      <c r="A531" s="255" t="s">
        <v>324</v>
      </c>
      <c r="B531" s="53" t="s">
        <v>358</v>
      </c>
      <c r="C531" s="22" t="s">
        <v>323</v>
      </c>
      <c r="D531" s="256">
        <f>20*180/1000</f>
        <v>3.6</v>
      </c>
      <c r="E531" s="256">
        <f>20*180/1000</f>
        <v>3.6</v>
      </c>
      <c r="F531" s="256">
        <f>20*200/1000</f>
        <v>4</v>
      </c>
      <c r="G531" s="257">
        <f>20*200/1000</f>
        <v>4</v>
      </c>
    </row>
    <row r="532" spans="1:7" ht="12" customHeight="1" x14ac:dyDescent="0.3">
      <c r="A532" s="183">
        <v>80</v>
      </c>
      <c r="B532" s="53"/>
      <c r="C532" s="22" t="s">
        <v>359</v>
      </c>
      <c r="D532" s="256">
        <f>30*180/1000</f>
        <v>5.4</v>
      </c>
      <c r="E532" s="256">
        <f>30*180/1000</f>
        <v>5.4</v>
      </c>
      <c r="F532" s="256">
        <v>0</v>
      </c>
      <c r="G532" s="257">
        <v>0</v>
      </c>
    </row>
    <row r="533" spans="1:7" ht="12" customHeight="1" x14ac:dyDescent="0.3">
      <c r="A533" s="255"/>
      <c r="B533" s="413" t="s">
        <v>214</v>
      </c>
      <c r="C533" s="22" t="s">
        <v>64</v>
      </c>
      <c r="D533" s="256">
        <f>50*180/1000</f>
        <v>9</v>
      </c>
      <c r="E533" s="256">
        <f>40*180/1000</f>
        <v>7.2</v>
      </c>
      <c r="F533" s="256">
        <f>50*200/1000</f>
        <v>10</v>
      </c>
      <c r="G533" s="257">
        <f>40*200/1000</f>
        <v>8</v>
      </c>
    </row>
    <row r="534" spans="1:7" ht="12" customHeight="1" x14ac:dyDescent="0.3">
      <c r="A534" s="255"/>
      <c r="B534" s="22"/>
      <c r="C534" s="53" t="s">
        <v>62</v>
      </c>
      <c r="D534" s="256">
        <f>48*180/1000</f>
        <v>8.64</v>
      </c>
      <c r="E534" s="256">
        <f>40*180/1000</f>
        <v>7.2</v>
      </c>
      <c r="F534" s="256">
        <f>24*200/1000</f>
        <v>4.8</v>
      </c>
      <c r="G534" s="257">
        <f>20*200/1000</f>
        <v>4</v>
      </c>
    </row>
    <row r="535" spans="1:7" ht="12" customHeight="1" x14ac:dyDescent="0.3">
      <c r="A535" s="255"/>
      <c r="B535" s="22"/>
      <c r="C535" s="53" t="s">
        <v>149</v>
      </c>
      <c r="D535" s="256">
        <v>0</v>
      </c>
      <c r="E535" s="256">
        <v>0</v>
      </c>
      <c r="F535" s="256">
        <f>67*200/1000</f>
        <v>13.4</v>
      </c>
      <c r="G535" s="257">
        <f>60*200/1000</f>
        <v>12</v>
      </c>
    </row>
    <row r="536" spans="1:7" ht="12" customHeight="1" x14ac:dyDescent="0.3">
      <c r="A536" s="255"/>
      <c r="B536" s="22"/>
      <c r="C536" s="53" t="s">
        <v>113</v>
      </c>
      <c r="D536" s="256">
        <f>10*180/1000</f>
        <v>1.8</v>
      </c>
      <c r="E536" s="256">
        <f>10*180/1000</f>
        <v>1.8</v>
      </c>
      <c r="F536" s="256">
        <f>10*200/1000</f>
        <v>2</v>
      </c>
      <c r="G536" s="257">
        <f>10*200/1000</f>
        <v>2</v>
      </c>
    </row>
    <row r="537" spans="1:7" ht="12" customHeight="1" x14ac:dyDescent="0.3">
      <c r="A537" s="255"/>
      <c r="B537" s="22"/>
      <c r="C537" s="278"/>
      <c r="D537" s="256"/>
      <c r="E537" s="256"/>
      <c r="F537" s="256"/>
      <c r="G537" s="257"/>
    </row>
    <row r="538" spans="1:7" ht="12" customHeight="1" x14ac:dyDescent="0.3">
      <c r="A538" s="255"/>
      <c r="B538" s="22"/>
      <c r="C538" s="278" t="s">
        <v>176</v>
      </c>
      <c r="D538" s="256">
        <f>119*10/60</f>
        <v>19.833333333333332</v>
      </c>
      <c r="E538" s="256">
        <f>68*10/60</f>
        <v>11.333333333333334</v>
      </c>
      <c r="F538" s="256">
        <f>119*10/60</f>
        <v>19.833333333333332</v>
      </c>
      <c r="G538" s="257">
        <f>68*10/60</f>
        <v>11.333333333333334</v>
      </c>
    </row>
    <row r="539" spans="1:7" ht="12" customHeight="1" x14ac:dyDescent="0.3">
      <c r="A539" s="255"/>
      <c r="B539" s="22"/>
      <c r="C539" s="278" t="s">
        <v>67</v>
      </c>
      <c r="D539" s="256"/>
      <c r="E539" s="256"/>
      <c r="F539" s="256">
        <v>10</v>
      </c>
      <c r="G539" s="257">
        <v>10</v>
      </c>
    </row>
    <row r="540" spans="1:7" ht="12" customHeight="1" x14ac:dyDescent="0.3">
      <c r="A540" s="183">
        <v>274</v>
      </c>
      <c r="B540" s="22" t="s">
        <v>265</v>
      </c>
      <c r="C540" s="22" t="s">
        <v>77</v>
      </c>
      <c r="D540" s="256">
        <f>E540*1.095</f>
        <v>87.6</v>
      </c>
      <c r="E540" s="256">
        <f>96*50/60</f>
        <v>80</v>
      </c>
      <c r="F540" s="256">
        <f>G540*1.095</f>
        <v>106.7625</v>
      </c>
      <c r="G540" s="257">
        <f>130*60/80</f>
        <v>97.5</v>
      </c>
    </row>
    <row r="541" spans="1:7" ht="12" customHeight="1" x14ac:dyDescent="0.3">
      <c r="A541" s="255"/>
      <c r="B541" s="22" t="s">
        <v>423</v>
      </c>
      <c r="C541" s="284" t="s">
        <v>325</v>
      </c>
      <c r="D541" s="285"/>
      <c r="E541" s="285">
        <v>50</v>
      </c>
      <c r="F541" s="285"/>
      <c r="G541" s="286">
        <v>60</v>
      </c>
    </row>
    <row r="542" spans="1:7" ht="12" customHeight="1" x14ac:dyDescent="0.3">
      <c r="A542" s="255"/>
      <c r="B542" s="22"/>
      <c r="C542" s="22" t="s">
        <v>64</v>
      </c>
      <c r="D542" s="256">
        <f>12.5*15/10</f>
        <v>18.75</v>
      </c>
      <c r="E542" s="256">
        <f>10+5</f>
        <v>15</v>
      </c>
      <c r="F542" s="256">
        <f>15*22/12</f>
        <v>27.5</v>
      </c>
      <c r="G542" s="257">
        <f>12+10</f>
        <v>22</v>
      </c>
    </row>
    <row r="543" spans="1:7" ht="12" customHeight="1" x14ac:dyDescent="0.3">
      <c r="A543" s="255"/>
      <c r="B543" s="22"/>
      <c r="C543" s="22" t="s">
        <v>185</v>
      </c>
      <c r="D543" s="256">
        <f>E543*1.33</f>
        <v>66.5</v>
      </c>
      <c r="E543" s="256">
        <v>50</v>
      </c>
      <c r="F543" s="256">
        <f>G543*1.33</f>
        <v>89.11</v>
      </c>
      <c r="G543" s="257">
        <v>67</v>
      </c>
    </row>
    <row r="544" spans="1:7" ht="12" customHeight="1" x14ac:dyDescent="0.3">
      <c r="A544" s="255"/>
      <c r="B544" s="22"/>
      <c r="C544" s="22" t="s">
        <v>186</v>
      </c>
      <c r="D544" s="256">
        <f>E544*1.43</f>
        <v>71.5</v>
      </c>
      <c r="E544" s="256">
        <v>50</v>
      </c>
      <c r="F544" s="256">
        <f>G544*1.43</f>
        <v>95.81</v>
      </c>
      <c r="G544" s="257">
        <v>67</v>
      </c>
    </row>
    <row r="545" spans="1:7" ht="12" customHeight="1" x14ac:dyDescent="0.3">
      <c r="A545" s="255"/>
      <c r="B545" s="22"/>
      <c r="C545" s="22" t="s">
        <v>564</v>
      </c>
      <c r="D545" s="256">
        <v>83.5</v>
      </c>
      <c r="E545" s="256">
        <v>50</v>
      </c>
      <c r="F545" s="256">
        <v>111.9</v>
      </c>
      <c r="G545" s="257">
        <v>67</v>
      </c>
    </row>
    <row r="546" spans="1:7" ht="12" customHeight="1" x14ac:dyDescent="0.3">
      <c r="A546" s="255"/>
      <c r="B546" s="22"/>
      <c r="C546" s="22" t="s">
        <v>187</v>
      </c>
      <c r="D546" s="256">
        <f>E546*1.54</f>
        <v>77</v>
      </c>
      <c r="E546" s="256">
        <v>50</v>
      </c>
      <c r="F546" s="256">
        <f>G546*1.54</f>
        <v>103.18</v>
      </c>
      <c r="G546" s="257">
        <v>67</v>
      </c>
    </row>
    <row r="547" spans="1:7" ht="12" customHeight="1" x14ac:dyDescent="0.3">
      <c r="A547" s="255"/>
      <c r="B547" s="22"/>
      <c r="C547" s="22" t="s">
        <v>326</v>
      </c>
      <c r="D547" s="256">
        <v>8</v>
      </c>
      <c r="E547" s="256">
        <v>5</v>
      </c>
      <c r="F547" s="256">
        <v>9</v>
      </c>
      <c r="G547" s="257">
        <v>6</v>
      </c>
    </row>
    <row r="548" spans="1:7" ht="12" customHeight="1" x14ac:dyDescent="0.3">
      <c r="A548" s="255"/>
      <c r="B548" s="22"/>
      <c r="C548" s="22" t="s">
        <v>115</v>
      </c>
      <c r="D548" s="256">
        <v>0</v>
      </c>
      <c r="E548" s="256">
        <v>0</v>
      </c>
      <c r="F548" s="256">
        <f>4*0.4</f>
        <v>1.6</v>
      </c>
      <c r="G548" s="257">
        <f>4*0.4</f>
        <v>1.6</v>
      </c>
    </row>
    <row r="549" spans="1:7" ht="12" customHeight="1" x14ac:dyDescent="0.3">
      <c r="A549" s="279"/>
      <c r="B549" s="24"/>
      <c r="C549" s="53" t="s">
        <v>119</v>
      </c>
      <c r="D549" s="280">
        <v>3</v>
      </c>
      <c r="E549" s="280">
        <v>3</v>
      </c>
      <c r="F549" s="280">
        <v>4</v>
      </c>
      <c r="G549" s="281">
        <v>4</v>
      </c>
    </row>
    <row r="550" spans="1:7" ht="12" customHeight="1" x14ac:dyDescent="0.3">
      <c r="A550" s="279"/>
      <c r="B550" s="24"/>
      <c r="C550" s="53" t="s">
        <v>62</v>
      </c>
      <c r="D550" s="280">
        <f>8*11/6</f>
        <v>14.666666666666666</v>
      </c>
      <c r="E550" s="280">
        <f>6+5</f>
        <v>11</v>
      </c>
      <c r="F550" s="280">
        <f>11*18/8</f>
        <v>24.75</v>
      </c>
      <c r="G550" s="281">
        <f>8+10</f>
        <v>18</v>
      </c>
    </row>
    <row r="551" spans="1:7" ht="12" customHeight="1" x14ac:dyDescent="0.3">
      <c r="A551" s="255"/>
      <c r="B551" s="22"/>
      <c r="C551" s="22" t="s">
        <v>154</v>
      </c>
      <c r="D551" s="256">
        <v>5</v>
      </c>
      <c r="E551" s="256">
        <v>5</v>
      </c>
      <c r="F551" s="256">
        <v>5</v>
      </c>
      <c r="G551" s="257">
        <v>5</v>
      </c>
    </row>
    <row r="552" spans="1:7" ht="12" customHeight="1" x14ac:dyDescent="0.3">
      <c r="A552" s="255"/>
      <c r="B552" s="22"/>
      <c r="C552" s="22" t="s">
        <v>327</v>
      </c>
      <c r="D552" s="256">
        <v>44</v>
      </c>
      <c r="E552" s="256">
        <v>44</v>
      </c>
      <c r="F552" s="256">
        <v>57</v>
      </c>
      <c r="G552" s="257">
        <v>57</v>
      </c>
    </row>
    <row r="553" spans="1:7" ht="12" customHeight="1" x14ac:dyDescent="0.3">
      <c r="A553" s="183">
        <v>378</v>
      </c>
      <c r="B553" s="22" t="s">
        <v>328</v>
      </c>
      <c r="C553" s="53" t="s">
        <v>329</v>
      </c>
      <c r="D553" s="280">
        <f>101*150/1000</f>
        <v>15.15</v>
      </c>
      <c r="E553" s="280">
        <f>100*150/1000</f>
        <v>15</v>
      </c>
      <c r="F553" s="280">
        <f>101*180/1000</f>
        <v>18.18</v>
      </c>
      <c r="G553" s="281">
        <f>100*180/1000</f>
        <v>18</v>
      </c>
    </row>
    <row r="554" spans="1:7" ht="12" customHeight="1" x14ac:dyDescent="0.3">
      <c r="A554" s="255"/>
      <c r="B554" s="22"/>
      <c r="C554" s="22" t="s">
        <v>330</v>
      </c>
      <c r="D554" s="280">
        <f>102*150/1000</f>
        <v>15.3</v>
      </c>
      <c r="E554" s="280">
        <f>100*150/1000</f>
        <v>15</v>
      </c>
      <c r="F554" s="280">
        <f>102*180/1000</f>
        <v>18.36</v>
      </c>
      <c r="G554" s="281">
        <f>100*180/1000</f>
        <v>18</v>
      </c>
    </row>
    <row r="555" spans="1:7" ht="12" customHeight="1" x14ac:dyDescent="0.3">
      <c r="A555" s="255"/>
      <c r="B555" s="22"/>
      <c r="C555" s="53" t="s">
        <v>56</v>
      </c>
      <c r="D555" s="280">
        <v>139.5</v>
      </c>
      <c r="E555" s="280">
        <f>930*150/1000</f>
        <v>139.5</v>
      </c>
      <c r="F555" s="280">
        <v>167.4</v>
      </c>
      <c r="G555" s="281">
        <f>930*180/1000</f>
        <v>167.4</v>
      </c>
    </row>
    <row r="556" spans="1:7" ht="12" customHeight="1" x14ac:dyDescent="0.3">
      <c r="A556" s="255"/>
      <c r="B556" s="22"/>
      <c r="C556" s="53" t="s">
        <v>331</v>
      </c>
      <c r="D556" s="280">
        <f>141*150/1000</f>
        <v>21.15</v>
      </c>
      <c r="E556" s="280">
        <f>120*150/1000</f>
        <v>18</v>
      </c>
      <c r="F556" s="280">
        <f>141*180/1000</f>
        <v>25.38</v>
      </c>
      <c r="G556" s="281">
        <f>120*180/1000</f>
        <v>21.6</v>
      </c>
    </row>
    <row r="557" spans="1:7" ht="12" customHeight="1" x14ac:dyDescent="0.3">
      <c r="A557" s="255"/>
      <c r="B557" s="22"/>
      <c r="C557" s="53" t="s">
        <v>56</v>
      </c>
      <c r="D557" s="280">
        <f>915*150/1000</f>
        <v>137.25</v>
      </c>
      <c r="E557" s="280">
        <f>915*150/1000</f>
        <v>137.25</v>
      </c>
      <c r="F557" s="280">
        <f>915*180/1000</f>
        <v>164.7</v>
      </c>
      <c r="G557" s="281">
        <f>915*180/1000</f>
        <v>164.7</v>
      </c>
    </row>
    <row r="558" spans="1:7" ht="12" customHeight="1" x14ac:dyDescent="0.3">
      <c r="A558" s="255"/>
      <c r="B558" s="22"/>
      <c r="C558" s="53" t="s">
        <v>57</v>
      </c>
      <c r="D558" s="280">
        <f>100*150/1000</f>
        <v>15</v>
      </c>
      <c r="E558" s="280">
        <f>100*150/1000</f>
        <v>15</v>
      </c>
      <c r="F558" s="280">
        <f>100*180/1000</f>
        <v>18</v>
      </c>
      <c r="G558" s="281">
        <f>100*180/1000</f>
        <v>18</v>
      </c>
    </row>
    <row r="559" spans="1:7" ht="12" customHeight="1" x14ac:dyDescent="0.3">
      <c r="A559" s="255"/>
      <c r="B559" s="22"/>
      <c r="C559" s="22" t="s">
        <v>141</v>
      </c>
      <c r="D559" s="256">
        <f>45*150/1000</f>
        <v>6.75</v>
      </c>
      <c r="E559" s="256">
        <f>45*150/1000</f>
        <v>6.75</v>
      </c>
      <c r="F559" s="256">
        <f>45*180/1000</f>
        <v>8.1</v>
      </c>
      <c r="G559" s="257">
        <f>45*180/1000</f>
        <v>8.1</v>
      </c>
    </row>
    <row r="560" spans="1:7" ht="12" customHeight="1" x14ac:dyDescent="0.3">
      <c r="A560" s="255">
        <v>1</v>
      </c>
      <c r="B560" s="22" t="s">
        <v>76</v>
      </c>
      <c r="C560" s="53" t="s">
        <v>50</v>
      </c>
      <c r="D560" s="256">
        <v>20</v>
      </c>
      <c r="E560" s="256">
        <v>20</v>
      </c>
      <c r="F560" s="256">
        <v>30</v>
      </c>
      <c r="G560" s="257">
        <v>30</v>
      </c>
    </row>
    <row r="561" spans="1:7" ht="12" customHeight="1" thickBot="1" x14ac:dyDescent="0.35">
      <c r="A561" s="96">
        <v>1</v>
      </c>
      <c r="B561" s="26" t="s">
        <v>18</v>
      </c>
      <c r="C561" s="67" t="s">
        <v>157</v>
      </c>
      <c r="D561" s="258">
        <v>17</v>
      </c>
      <c r="E561" s="258">
        <v>17</v>
      </c>
      <c r="F561" s="258">
        <v>21</v>
      </c>
      <c r="G561" s="259">
        <v>21</v>
      </c>
    </row>
    <row r="562" spans="1:7" ht="12" customHeight="1" x14ac:dyDescent="0.3">
      <c r="A562" s="252">
        <v>298</v>
      </c>
      <c r="B562" s="44" t="s">
        <v>122</v>
      </c>
      <c r="C562" s="44" t="s">
        <v>249</v>
      </c>
      <c r="D562" s="253">
        <f>90/2</f>
        <v>45</v>
      </c>
      <c r="E562" s="253">
        <f>72/2</f>
        <v>36</v>
      </c>
      <c r="F562" s="253">
        <f>121/2</f>
        <v>60.5</v>
      </c>
      <c r="G562" s="254">
        <f>96/2</f>
        <v>48</v>
      </c>
    </row>
    <row r="563" spans="1:7" ht="12" customHeight="1" x14ac:dyDescent="0.3">
      <c r="A563" s="255"/>
      <c r="B563" s="22" t="s">
        <v>218</v>
      </c>
      <c r="C563" s="53" t="s">
        <v>77</v>
      </c>
      <c r="D563" s="280">
        <f>E563*1.095</f>
        <v>24.637499999999999</v>
      </c>
      <c r="E563" s="280">
        <f>45/2</f>
        <v>22.5</v>
      </c>
      <c r="F563" s="280">
        <f>G563*1.095</f>
        <v>32.85</v>
      </c>
      <c r="G563" s="281">
        <f>60/2</f>
        <v>30</v>
      </c>
    </row>
    <row r="564" spans="1:7" ht="12" customHeight="1" x14ac:dyDescent="0.3">
      <c r="A564" s="255"/>
      <c r="B564" s="22"/>
      <c r="C564" s="53" t="s">
        <v>332</v>
      </c>
      <c r="D564" s="280">
        <f>6/2</f>
        <v>3</v>
      </c>
      <c r="E564" s="280">
        <f>17/2</f>
        <v>8.5</v>
      </c>
      <c r="F564" s="280">
        <f>8/2</f>
        <v>4</v>
      </c>
      <c r="G564" s="281">
        <f>23/2</f>
        <v>11.5</v>
      </c>
    </row>
    <row r="565" spans="1:7" ht="12" customHeight="1" x14ac:dyDescent="0.3">
      <c r="A565" s="255"/>
      <c r="B565" s="22"/>
      <c r="C565" s="53" t="s">
        <v>62</v>
      </c>
      <c r="D565" s="280">
        <f>12/2</f>
        <v>6</v>
      </c>
      <c r="E565" s="280">
        <f>10/2</f>
        <v>5</v>
      </c>
      <c r="F565" s="280">
        <f>16/2</f>
        <v>8</v>
      </c>
      <c r="G565" s="281">
        <f>13/2</f>
        <v>6.5</v>
      </c>
    </row>
    <row r="566" spans="1:7" ht="12" customHeight="1" x14ac:dyDescent="0.3">
      <c r="A566" s="255"/>
      <c r="B566" s="22"/>
      <c r="C566" s="53" t="s">
        <v>154</v>
      </c>
      <c r="D566" s="280">
        <f>3/2</f>
        <v>1.5</v>
      </c>
      <c r="E566" s="280">
        <f>3/2</f>
        <v>1.5</v>
      </c>
      <c r="F566" s="280">
        <f>4/2</f>
        <v>2</v>
      </c>
      <c r="G566" s="281">
        <f>4/2</f>
        <v>2</v>
      </c>
    </row>
    <row r="567" spans="1:7" ht="12" customHeight="1" x14ac:dyDescent="0.3">
      <c r="A567" s="255"/>
      <c r="B567" s="22"/>
      <c r="C567" s="284" t="s">
        <v>333</v>
      </c>
      <c r="D567" s="285"/>
      <c r="E567" s="285">
        <f>10/2</f>
        <v>5</v>
      </c>
      <c r="F567" s="285"/>
      <c r="G567" s="286">
        <f>14/2</f>
        <v>7</v>
      </c>
    </row>
    <row r="568" spans="1:7" ht="12" customHeight="1" x14ac:dyDescent="0.3">
      <c r="A568" s="255"/>
      <c r="B568" s="22"/>
      <c r="C568" s="53" t="s">
        <v>133</v>
      </c>
      <c r="D568" s="280">
        <f>4/2</f>
        <v>2</v>
      </c>
      <c r="E568" s="280">
        <f>4/2</f>
        <v>2</v>
      </c>
      <c r="F568" s="280">
        <f>5/2</f>
        <v>2.5</v>
      </c>
      <c r="G568" s="281">
        <f>5/2</f>
        <v>2.5</v>
      </c>
    </row>
    <row r="569" spans="1:7" ht="12" customHeight="1" x14ac:dyDescent="0.3">
      <c r="A569" s="255"/>
      <c r="B569" s="22"/>
      <c r="C569" s="284" t="s">
        <v>206</v>
      </c>
      <c r="D569" s="285"/>
      <c r="E569" s="285">
        <f>145/2</f>
        <v>72.5</v>
      </c>
      <c r="F569" s="285"/>
      <c r="G569" s="286">
        <f>193/2</f>
        <v>96.5</v>
      </c>
    </row>
    <row r="570" spans="1:7" ht="12" customHeight="1" x14ac:dyDescent="0.3">
      <c r="A570" s="290" t="s">
        <v>334</v>
      </c>
      <c r="B570" s="53" t="s">
        <v>335</v>
      </c>
      <c r="C570" s="53" t="s">
        <v>336</v>
      </c>
      <c r="D570" s="320"/>
      <c r="E570" s="320">
        <v>15</v>
      </c>
      <c r="F570" s="320"/>
      <c r="G570" s="321">
        <v>30</v>
      </c>
    </row>
    <row r="571" spans="1:7" ht="12" customHeight="1" x14ac:dyDescent="0.3">
      <c r="A571" s="255"/>
      <c r="B571" s="22"/>
      <c r="C571" s="53" t="s">
        <v>67</v>
      </c>
      <c r="D571" s="280">
        <f>250*E570/1000</f>
        <v>3.75</v>
      </c>
      <c r="E571" s="280">
        <f>250*E570/1000</f>
        <v>3.75</v>
      </c>
      <c r="F571" s="280">
        <f>250*G570/1000</f>
        <v>7.5</v>
      </c>
      <c r="G571" s="281">
        <f>250*G570/1000</f>
        <v>7.5</v>
      </c>
    </row>
    <row r="572" spans="1:7" ht="12" customHeight="1" x14ac:dyDescent="0.3">
      <c r="A572" s="255"/>
      <c r="B572" s="22"/>
      <c r="C572" s="53" t="s">
        <v>68</v>
      </c>
      <c r="D572" s="280">
        <f>75*E570/1000</f>
        <v>1.125</v>
      </c>
      <c r="E572" s="280">
        <f>75*E570/1000</f>
        <v>1.125</v>
      </c>
      <c r="F572" s="280">
        <f>75*G570/1000</f>
        <v>2.25</v>
      </c>
      <c r="G572" s="281">
        <f>75*G570/1000</f>
        <v>2.25</v>
      </c>
    </row>
    <row r="573" spans="1:7" ht="12" customHeight="1" x14ac:dyDescent="0.3">
      <c r="A573" s="255"/>
      <c r="B573" s="22"/>
      <c r="C573" s="53" t="s">
        <v>56</v>
      </c>
      <c r="D573" s="280">
        <f>750*E570/1000</f>
        <v>11.25</v>
      </c>
      <c r="E573" s="280">
        <f>750*E570/1000</f>
        <v>11.25</v>
      </c>
      <c r="F573" s="280">
        <f>750*G570/1000</f>
        <v>22.5</v>
      </c>
      <c r="G573" s="281">
        <f>750*G570/1000</f>
        <v>22.5</v>
      </c>
    </row>
    <row r="574" spans="1:7" ht="12" customHeight="1" x14ac:dyDescent="0.3">
      <c r="A574" s="255"/>
      <c r="B574" s="22"/>
      <c r="C574" s="53" t="s">
        <v>115</v>
      </c>
      <c r="D574" s="280">
        <v>0</v>
      </c>
      <c r="E574" s="280">
        <v>0</v>
      </c>
      <c r="F574" s="280">
        <f>100*G570/1000*0.4</f>
        <v>1.2000000000000002</v>
      </c>
      <c r="G574" s="281">
        <f>40*G570/1000</f>
        <v>1.2</v>
      </c>
    </row>
    <row r="575" spans="1:7" ht="12" customHeight="1" x14ac:dyDescent="0.3">
      <c r="A575" s="255"/>
      <c r="B575" s="22"/>
      <c r="C575" s="53" t="s">
        <v>58</v>
      </c>
      <c r="D575" s="280">
        <f>8*E570/1000</f>
        <v>0.12</v>
      </c>
      <c r="E575" s="280">
        <f>8*E570/1000</f>
        <v>0.12</v>
      </c>
      <c r="F575" s="280">
        <f>8*G570/1000</f>
        <v>0.24</v>
      </c>
      <c r="G575" s="281">
        <f>8*G570/1000</f>
        <v>0.24</v>
      </c>
    </row>
    <row r="576" spans="1:7" ht="12" customHeight="1" x14ac:dyDescent="0.3">
      <c r="A576" s="279"/>
      <c r="B576" s="22"/>
      <c r="C576" s="22"/>
      <c r="D576" s="280"/>
      <c r="E576" s="280"/>
      <c r="F576" s="280"/>
      <c r="G576" s="281"/>
    </row>
    <row r="577" spans="1:7" ht="12" customHeight="1" x14ac:dyDescent="0.3">
      <c r="A577" s="322">
        <v>400</v>
      </c>
      <c r="B577" s="22" t="s">
        <v>105</v>
      </c>
      <c r="C577" s="22" t="s">
        <v>53</v>
      </c>
      <c r="D577" s="407">
        <v>159</v>
      </c>
      <c r="E577" s="407">
        <v>150</v>
      </c>
      <c r="F577" s="407">
        <v>190</v>
      </c>
      <c r="G577" s="408">
        <v>180</v>
      </c>
    </row>
    <row r="578" spans="1:7" ht="12" customHeight="1" thickBot="1" x14ac:dyDescent="0.35">
      <c r="A578" s="96">
        <v>1</v>
      </c>
      <c r="B578" s="26" t="s">
        <v>18</v>
      </c>
      <c r="C578" s="26" t="s">
        <v>116</v>
      </c>
      <c r="D578" s="258">
        <v>17</v>
      </c>
      <c r="E578" s="258">
        <v>17</v>
      </c>
      <c r="F578" s="258">
        <v>21</v>
      </c>
      <c r="G578" s="259">
        <v>21</v>
      </c>
    </row>
    <row r="579" spans="1:7" ht="46.9" customHeight="1" thickBot="1" x14ac:dyDescent="0.35">
      <c r="A579" s="100"/>
      <c r="B579" s="40"/>
      <c r="C579" s="40"/>
      <c r="D579" s="138"/>
      <c r="E579" s="138"/>
      <c r="F579" s="138"/>
      <c r="G579" s="186"/>
    </row>
    <row r="580" spans="1:7" ht="12.4" customHeight="1" thickBot="1" x14ac:dyDescent="0.35">
      <c r="A580" s="137"/>
      <c r="B580" s="603" t="s">
        <v>162</v>
      </c>
      <c r="C580" s="102"/>
      <c r="D580" s="583" t="s">
        <v>72</v>
      </c>
      <c r="E580" s="584"/>
      <c r="F580" s="585" t="s">
        <v>73</v>
      </c>
      <c r="G580" s="584"/>
    </row>
    <row r="581" spans="1:7" ht="12.4" customHeight="1" thickBot="1" x14ac:dyDescent="0.35">
      <c r="A581" s="153"/>
      <c r="B581" s="604"/>
      <c r="C581" s="154"/>
      <c r="D581" s="155" t="s">
        <v>96</v>
      </c>
      <c r="E581" s="156" t="s">
        <v>48</v>
      </c>
      <c r="F581" s="155" t="s">
        <v>96</v>
      </c>
      <c r="G581" s="156" t="s">
        <v>48</v>
      </c>
    </row>
    <row r="582" spans="1:7" ht="12.4" customHeight="1" x14ac:dyDescent="0.3">
      <c r="A582" s="324">
        <v>207</v>
      </c>
      <c r="B582" s="325" t="s">
        <v>463</v>
      </c>
      <c r="C582" s="57" t="s">
        <v>156</v>
      </c>
      <c r="D582" s="253">
        <f>35*163/100</f>
        <v>57.05</v>
      </c>
      <c r="E582" s="253">
        <f>35*163/100</f>
        <v>57.05</v>
      </c>
      <c r="F582" s="253">
        <f>35*216/100</f>
        <v>75.599999999999994</v>
      </c>
      <c r="G582" s="254">
        <f>35*216/100</f>
        <v>75.599999999999994</v>
      </c>
    </row>
    <row r="583" spans="1:7" ht="12.4" customHeight="1" x14ac:dyDescent="0.3">
      <c r="A583" s="279"/>
      <c r="B583" s="53" t="s">
        <v>405</v>
      </c>
      <c r="C583" s="284" t="s">
        <v>322</v>
      </c>
      <c r="D583" s="285"/>
      <c r="E583" s="285">
        <v>163</v>
      </c>
      <c r="F583" s="285"/>
      <c r="G583" s="286">
        <v>216</v>
      </c>
    </row>
    <row r="584" spans="1:7" ht="12.4" customHeight="1" x14ac:dyDescent="0.3">
      <c r="A584" s="255"/>
      <c r="B584" s="22"/>
      <c r="C584" s="53" t="s">
        <v>0</v>
      </c>
      <c r="D584" s="256">
        <v>4.4000000000000004</v>
      </c>
      <c r="E584" s="256">
        <v>4</v>
      </c>
      <c r="F584" s="256">
        <v>6.6</v>
      </c>
      <c r="G584" s="257">
        <v>6</v>
      </c>
    </row>
    <row r="585" spans="1:7" ht="12.4" customHeight="1" x14ac:dyDescent="0.3">
      <c r="A585" s="255"/>
      <c r="B585" s="22"/>
      <c r="C585" s="53" t="s">
        <v>548</v>
      </c>
      <c r="D585" s="256">
        <v>5</v>
      </c>
      <c r="E585" s="256">
        <v>5</v>
      </c>
      <c r="F585" s="256">
        <v>5</v>
      </c>
      <c r="G585" s="257">
        <v>5</v>
      </c>
    </row>
    <row r="586" spans="1:7" ht="12.4" customHeight="1" x14ac:dyDescent="0.3">
      <c r="A586" s="255">
        <v>1</v>
      </c>
      <c r="B586" s="22" t="s">
        <v>473</v>
      </c>
      <c r="C586" s="22" t="s">
        <v>474</v>
      </c>
      <c r="D586" s="256">
        <v>24</v>
      </c>
      <c r="E586" s="256">
        <v>24</v>
      </c>
      <c r="F586" s="256">
        <v>30</v>
      </c>
      <c r="G586" s="257">
        <v>30</v>
      </c>
    </row>
    <row r="587" spans="1:7" ht="12.4" customHeight="1" x14ac:dyDescent="0.3">
      <c r="A587" s="255">
        <v>6</v>
      </c>
      <c r="B587" s="22" t="s">
        <v>29</v>
      </c>
      <c r="C587" s="309" t="s">
        <v>154</v>
      </c>
      <c r="D587" s="256">
        <v>10</v>
      </c>
      <c r="E587" s="256">
        <v>10</v>
      </c>
      <c r="F587" s="256">
        <v>10</v>
      </c>
      <c r="G587" s="257">
        <v>10</v>
      </c>
    </row>
    <row r="588" spans="1:7" ht="12.4" customHeight="1" x14ac:dyDescent="0.3">
      <c r="A588" s="255">
        <v>397</v>
      </c>
      <c r="B588" s="22" t="s">
        <v>55</v>
      </c>
      <c r="C588" s="53" t="s">
        <v>124</v>
      </c>
      <c r="D588" s="256">
        <v>2</v>
      </c>
      <c r="E588" s="256">
        <v>2</v>
      </c>
      <c r="F588" s="256">
        <v>2</v>
      </c>
      <c r="G588" s="257">
        <v>2</v>
      </c>
    </row>
    <row r="589" spans="1:7" ht="12.4" customHeight="1" x14ac:dyDescent="0.3">
      <c r="A589" s="255"/>
      <c r="B589" s="22" t="s">
        <v>61</v>
      </c>
      <c r="C589" s="53" t="s">
        <v>53</v>
      </c>
      <c r="D589" s="256">
        <v>92</v>
      </c>
      <c r="E589" s="256">
        <v>92</v>
      </c>
      <c r="F589" s="256">
        <v>110</v>
      </c>
      <c r="G589" s="257">
        <v>110</v>
      </c>
    </row>
    <row r="590" spans="1:7" ht="12.4" customHeight="1" x14ac:dyDescent="0.3">
      <c r="A590" s="255"/>
      <c r="B590" s="22"/>
      <c r="C590" s="53" t="s">
        <v>153</v>
      </c>
      <c r="D590" s="256">
        <f>D589*0.12</f>
        <v>11.04</v>
      </c>
      <c r="E590" s="256">
        <f>E589*0.12</f>
        <v>11.04</v>
      </c>
      <c r="F590" s="256">
        <f>F589*0.12</f>
        <v>13.2</v>
      </c>
      <c r="G590" s="257">
        <f>G589*0.12</f>
        <v>13.2</v>
      </c>
    </row>
    <row r="591" spans="1:7" ht="12.4" customHeight="1" thickBot="1" x14ac:dyDescent="0.35">
      <c r="A591" s="96"/>
      <c r="B591" s="26"/>
      <c r="C591" s="67" t="s">
        <v>57</v>
      </c>
      <c r="D591" s="258">
        <v>8</v>
      </c>
      <c r="E591" s="258">
        <v>8</v>
      </c>
      <c r="F591" s="258">
        <v>10</v>
      </c>
      <c r="G591" s="259">
        <v>10</v>
      </c>
    </row>
    <row r="592" spans="1:7" ht="12.4" customHeight="1" thickBot="1" x14ac:dyDescent="0.35">
      <c r="A592" s="304">
        <v>401</v>
      </c>
      <c r="B592" s="200" t="s">
        <v>178</v>
      </c>
      <c r="C592" s="200" t="s">
        <v>560</v>
      </c>
      <c r="D592" s="425">
        <v>150</v>
      </c>
      <c r="E592" s="425">
        <v>150</v>
      </c>
      <c r="F592" s="305">
        <v>180</v>
      </c>
      <c r="G592" s="292">
        <v>180</v>
      </c>
    </row>
    <row r="593" spans="1:7" ht="12.4" customHeight="1" x14ac:dyDescent="0.3">
      <c r="A593" s="270">
        <v>45</v>
      </c>
      <c r="B593" s="44" t="s">
        <v>134</v>
      </c>
      <c r="C593" s="44" t="s">
        <v>185</v>
      </c>
      <c r="D593" s="253">
        <f>E593*1.33</f>
        <v>14.9625</v>
      </c>
      <c r="E593" s="253">
        <f>250*45/1000</f>
        <v>11.25</v>
      </c>
      <c r="F593" s="253">
        <f>G593*1.33</f>
        <v>19.950000000000003</v>
      </c>
      <c r="G593" s="254">
        <f>250*60/1000</f>
        <v>15</v>
      </c>
    </row>
    <row r="594" spans="1:7" ht="12.4" customHeight="1" x14ac:dyDescent="0.3">
      <c r="A594" s="183"/>
      <c r="B594" s="22" t="s">
        <v>223</v>
      </c>
      <c r="C594" s="22" t="s">
        <v>186</v>
      </c>
      <c r="D594" s="256">
        <f>E594*1.43</f>
        <v>16.087499999999999</v>
      </c>
      <c r="E594" s="256">
        <f>250*45/1000</f>
        <v>11.25</v>
      </c>
      <c r="F594" s="256">
        <f>G594*1.43</f>
        <v>21.45</v>
      </c>
      <c r="G594" s="257">
        <f>250*60/1000</f>
        <v>15</v>
      </c>
    </row>
    <row r="595" spans="1:7" ht="12.4" customHeight="1" x14ac:dyDescent="0.3">
      <c r="A595" s="183"/>
      <c r="B595" s="22"/>
      <c r="C595" s="22" t="s">
        <v>187</v>
      </c>
      <c r="D595" s="256">
        <f>E595*1.54</f>
        <v>17.324999999999999</v>
      </c>
      <c r="E595" s="256">
        <f>250*45/1000</f>
        <v>11.25</v>
      </c>
      <c r="F595" s="256">
        <f>G595*1.54</f>
        <v>23.1</v>
      </c>
      <c r="G595" s="257">
        <f>250*60/1000</f>
        <v>15</v>
      </c>
    </row>
    <row r="596" spans="1:7" ht="12.4" customHeight="1" x14ac:dyDescent="0.3">
      <c r="A596" s="183"/>
      <c r="B596" s="22"/>
      <c r="C596" s="22" t="s">
        <v>188</v>
      </c>
      <c r="D596" s="256">
        <f>E596*1.67</f>
        <v>18.787499999999998</v>
      </c>
      <c r="E596" s="256">
        <f>250*45/1000</f>
        <v>11.25</v>
      </c>
      <c r="F596" s="256">
        <f>G596*1.67</f>
        <v>25.049999999999997</v>
      </c>
      <c r="G596" s="257">
        <f>250*60/1000</f>
        <v>15</v>
      </c>
    </row>
    <row r="597" spans="1:7" ht="12.4" customHeight="1" x14ac:dyDescent="0.3">
      <c r="A597" s="183"/>
      <c r="B597" s="22"/>
      <c r="C597" s="22" t="s">
        <v>114</v>
      </c>
      <c r="D597" s="256">
        <f>255*45/1000</f>
        <v>11.475</v>
      </c>
      <c r="E597" s="256">
        <f>200*45/1000</f>
        <v>9</v>
      </c>
      <c r="F597" s="256">
        <f>255*60/1000</f>
        <v>15.3</v>
      </c>
      <c r="G597" s="257">
        <f>200*60/1000</f>
        <v>12</v>
      </c>
    </row>
    <row r="598" spans="1:7" ht="12.4" customHeight="1" x14ac:dyDescent="0.3">
      <c r="A598" s="183"/>
      <c r="B598" s="22"/>
      <c r="C598" s="22" t="s">
        <v>64</v>
      </c>
      <c r="D598" s="256">
        <f>189*45/1000</f>
        <v>8.5050000000000008</v>
      </c>
      <c r="E598" s="256">
        <f>150*45/1000</f>
        <v>6.75</v>
      </c>
      <c r="F598" s="256">
        <f>189*60/1000</f>
        <v>11.34</v>
      </c>
      <c r="G598" s="257">
        <f>150*60/1000</f>
        <v>9</v>
      </c>
    </row>
    <row r="599" spans="1:7" ht="12.4" customHeight="1" x14ac:dyDescent="0.3">
      <c r="A599" s="183"/>
      <c r="B599" s="22"/>
      <c r="C599" s="22" t="s">
        <v>149</v>
      </c>
      <c r="D599" s="256">
        <f>250*45/1000</f>
        <v>11.25</v>
      </c>
      <c r="E599" s="256">
        <f>200*45/1000</f>
        <v>9</v>
      </c>
      <c r="F599" s="256">
        <f>250*60/1000</f>
        <v>15</v>
      </c>
      <c r="G599" s="257">
        <f>200*60/1000</f>
        <v>12</v>
      </c>
    </row>
    <row r="600" spans="1:7" ht="12.4" customHeight="1" x14ac:dyDescent="0.3">
      <c r="A600" s="183"/>
      <c r="B600" s="22"/>
      <c r="C600" s="22" t="s">
        <v>408</v>
      </c>
      <c r="D600" s="256">
        <f>179*45/1000</f>
        <v>8.0549999999999997</v>
      </c>
      <c r="E600" s="256">
        <f>150*45/1000</f>
        <v>6.75</v>
      </c>
      <c r="F600" s="256">
        <f>179*60/1000</f>
        <v>10.74</v>
      </c>
      <c r="G600" s="257">
        <f>150*60/1000</f>
        <v>9</v>
      </c>
    </row>
    <row r="601" spans="1:7" ht="12.4" customHeight="1" x14ac:dyDescent="0.3">
      <c r="A601" s="183"/>
      <c r="B601" s="22"/>
      <c r="C601" s="22" t="s">
        <v>113</v>
      </c>
      <c r="D601" s="256">
        <f>60*45/1000</f>
        <v>2.7</v>
      </c>
      <c r="E601" s="256">
        <f>60*45/1000</f>
        <v>2.7</v>
      </c>
      <c r="F601" s="256">
        <f>60*60/1000</f>
        <v>3.6</v>
      </c>
      <c r="G601" s="257">
        <f>60*60/1000</f>
        <v>3.6</v>
      </c>
    </row>
    <row r="602" spans="1:7" ht="12.4" customHeight="1" x14ac:dyDescent="0.3">
      <c r="A602" s="183">
        <v>108</v>
      </c>
      <c r="B602" s="22" t="s">
        <v>409</v>
      </c>
      <c r="C602" s="278" t="s">
        <v>216</v>
      </c>
      <c r="D602" s="256">
        <f>84*10/60</f>
        <v>14</v>
      </c>
      <c r="E602" s="256">
        <f>82*10/60</f>
        <v>13.666666666666666</v>
      </c>
      <c r="F602" s="256">
        <f>84*10/60</f>
        <v>14</v>
      </c>
      <c r="G602" s="257">
        <f>82*10/60</f>
        <v>13.666666666666666</v>
      </c>
    </row>
    <row r="603" spans="1:7" ht="12.4" customHeight="1" x14ac:dyDescent="0.3">
      <c r="A603" s="255"/>
      <c r="B603" s="22" t="s">
        <v>500</v>
      </c>
      <c r="C603" s="278" t="s">
        <v>176</v>
      </c>
      <c r="D603" s="256">
        <f>119*10/60</f>
        <v>19.833333333333332</v>
      </c>
      <c r="E603" s="256">
        <f>68*10/60</f>
        <v>11.333333333333334</v>
      </c>
      <c r="F603" s="256">
        <f>119*10/60</f>
        <v>19.833333333333332</v>
      </c>
      <c r="G603" s="257">
        <f>68*10/60</f>
        <v>11.333333333333334</v>
      </c>
    </row>
    <row r="604" spans="1:7" ht="12.4" customHeight="1" x14ac:dyDescent="0.3">
      <c r="A604" s="255"/>
      <c r="B604" s="22"/>
      <c r="C604" s="22" t="s">
        <v>410</v>
      </c>
      <c r="D604" s="256">
        <f>13*200/1000</f>
        <v>2.6</v>
      </c>
      <c r="E604" s="256">
        <f>13*200/1000</f>
        <v>2.6</v>
      </c>
      <c r="F604" s="256">
        <f>13*250/1000</f>
        <v>3.25</v>
      </c>
      <c r="G604" s="257">
        <v>3.3</v>
      </c>
    </row>
    <row r="605" spans="1:7" ht="12.4" customHeight="1" x14ac:dyDescent="0.3">
      <c r="A605" s="255"/>
      <c r="B605" s="22"/>
      <c r="C605" s="22" t="s">
        <v>64</v>
      </c>
      <c r="D605" s="256">
        <f>22.5*200/1000</f>
        <v>4.5</v>
      </c>
      <c r="E605" s="256">
        <f>18*200/1000</f>
        <v>3.6</v>
      </c>
      <c r="F605" s="256">
        <f>22.5*200/1000</f>
        <v>4.5</v>
      </c>
      <c r="G605" s="257">
        <f>18*200/1000</f>
        <v>3.6</v>
      </c>
    </row>
    <row r="606" spans="1:7" s="1" customFormat="1" ht="12.4" customHeight="1" x14ac:dyDescent="0.3">
      <c r="A606" s="255">
        <v>115</v>
      </c>
      <c r="B606" s="22" t="s">
        <v>411</v>
      </c>
      <c r="C606" s="22" t="s">
        <v>54</v>
      </c>
      <c r="D606" s="256">
        <f>1875*10/1000</f>
        <v>18.75</v>
      </c>
      <c r="E606" s="256">
        <f>1575*10/1000</f>
        <v>15.75</v>
      </c>
      <c r="F606" s="256">
        <f>1875*10/1000</f>
        <v>18.75</v>
      </c>
      <c r="G606" s="257">
        <f>1575*10/1000</f>
        <v>15.75</v>
      </c>
    </row>
    <row r="607" spans="1:7" s="1" customFormat="1" ht="12.4" customHeight="1" x14ac:dyDescent="0.3">
      <c r="A607" s="255"/>
      <c r="B607" s="22"/>
      <c r="C607" s="53" t="s">
        <v>99</v>
      </c>
      <c r="D607" s="256">
        <v>40</v>
      </c>
      <c r="E607" s="256">
        <v>40</v>
      </c>
      <c r="F607" s="256">
        <v>40</v>
      </c>
      <c r="G607" s="257">
        <v>40</v>
      </c>
    </row>
    <row r="608" spans="1:7" s="1" customFormat="1" ht="12.4" customHeight="1" x14ac:dyDescent="0.3">
      <c r="A608" s="183">
        <v>287</v>
      </c>
      <c r="B608" s="22" t="s">
        <v>225</v>
      </c>
      <c r="C608" s="22" t="s">
        <v>77</v>
      </c>
      <c r="D608" s="256">
        <f>E608*1.095</f>
        <v>34.674999999999997</v>
      </c>
      <c r="E608" s="256">
        <f>38*50/60</f>
        <v>31.666666666666668</v>
      </c>
      <c r="F608" s="256">
        <f>G608*1.095</f>
        <v>41.61</v>
      </c>
      <c r="G608" s="257">
        <f>38</f>
        <v>38</v>
      </c>
    </row>
    <row r="609" spans="1:7" s="1" customFormat="1" ht="12.4" customHeight="1" x14ac:dyDescent="0.3">
      <c r="A609" s="255"/>
      <c r="B609" s="22" t="s">
        <v>355</v>
      </c>
      <c r="C609" s="22" t="s">
        <v>118</v>
      </c>
      <c r="D609" s="256">
        <f>5*50/60</f>
        <v>4.166666666666667</v>
      </c>
      <c r="E609" s="256">
        <f>15*50/60</f>
        <v>12.5</v>
      </c>
      <c r="F609" s="256">
        <f>5</f>
        <v>5</v>
      </c>
      <c r="G609" s="257">
        <f>15</f>
        <v>15</v>
      </c>
    </row>
    <row r="610" spans="1:7" s="1" customFormat="1" ht="12.4" customHeight="1" x14ac:dyDescent="0.3">
      <c r="A610" s="255"/>
      <c r="B610" s="22"/>
      <c r="C610" s="22" t="s">
        <v>56</v>
      </c>
      <c r="D610" s="256">
        <f>6*50/60</f>
        <v>5</v>
      </c>
      <c r="E610" s="256">
        <f>6*50/60</f>
        <v>5</v>
      </c>
      <c r="F610" s="256">
        <f>6</f>
        <v>6</v>
      </c>
      <c r="G610" s="257">
        <f>6</f>
        <v>6</v>
      </c>
    </row>
    <row r="611" spans="1:7" s="1" customFormat="1" ht="12.4" customHeight="1" x14ac:dyDescent="0.3">
      <c r="A611" s="255"/>
      <c r="B611" s="22"/>
      <c r="C611" s="22" t="s">
        <v>62</v>
      </c>
      <c r="D611" s="256">
        <f>13*50/60</f>
        <v>10.833333333333334</v>
      </c>
      <c r="E611" s="256">
        <f>11*50/60</f>
        <v>9.1666666666666661</v>
      </c>
      <c r="F611" s="256">
        <f>13</f>
        <v>13</v>
      </c>
      <c r="G611" s="257">
        <f>11</f>
        <v>11</v>
      </c>
    </row>
    <row r="612" spans="1:7" ht="12.4" customHeight="1" x14ac:dyDescent="0.3">
      <c r="A612" s="255"/>
      <c r="B612" s="24"/>
      <c r="C612" s="22" t="s">
        <v>154</v>
      </c>
      <c r="D612" s="256">
        <f>2*50/60</f>
        <v>1.6666666666666667</v>
      </c>
      <c r="E612" s="256">
        <f>2*50/60</f>
        <v>1.6666666666666667</v>
      </c>
      <c r="F612" s="256">
        <f>2</f>
        <v>2</v>
      </c>
      <c r="G612" s="257">
        <f>2</f>
        <v>2</v>
      </c>
    </row>
    <row r="613" spans="1:7" ht="12.4" customHeight="1" x14ac:dyDescent="0.3">
      <c r="A613" s="255"/>
      <c r="B613" s="22"/>
      <c r="C613" s="284" t="s">
        <v>333</v>
      </c>
      <c r="D613" s="285"/>
      <c r="E613" s="285">
        <f>9*50/60</f>
        <v>7.5</v>
      </c>
      <c r="F613" s="285"/>
      <c r="G613" s="286">
        <f>9</f>
        <v>9</v>
      </c>
    </row>
    <row r="614" spans="1:7" ht="12.4" customHeight="1" x14ac:dyDescent="0.3">
      <c r="A614" s="255"/>
      <c r="B614" s="22"/>
      <c r="C614" s="22" t="s">
        <v>119</v>
      </c>
      <c r="D614" s="256">
        <f>4*50/60</f>
        <v>3.3333333333333335</v>
      </c>
      <c r="E614" s="256">
        <f>4*50/60</f>
        <v>3.3333333333333335</v>
      </c>
      <c r="F614" s="256">
        <f>4</f>
        <v>4</v>
      </c>
      <c r="G614" s="257">
        <f>4</f>
        <v>4</v>
      </c>
    </row>
    <row r="615" spans="1:7" ht="12.4" customHeight="1" x14ac:dyDescent="0.3">
      <c r="A615" s="255"/>
      <c r="B615" s="22"/>
      <c r="C615" s="284" t="s">
        <v>206</v>
      </c>
      <c r="D615" s="285"/>
      <c r="E615" s="285">
        <f>71*50/60</f>
        <v>59.166666666666664</v>
      </c>
      <c r="F615" s="285"/>
      <c r="G615" s="286">
        <f>71</f>
        <v>71</v>
      </c>
    </row>
    <row r="616" spans="1:7" ht="12.4" customHeight="1" x14ac:dyDescent="0.3">
      <c r="A616" s="255"/>
      <c r="B616" s="22"/>
      <c r="C616" s="22" t="s">
        <v>154</v>
      </c>
      <c r="D616" s="256">
        <f>2*50/60</f>
        <v>1.6666666666666667</v>
      </c>
      <c r="E616" s="256">
        <f>2*50/60</f>
        <v>1.6666666666666667</v>
      </c>
      <c r="F616" s="256">
        <v>2</v>
      </c>
      <c r="G616" s="257">
        <v>2</v>
      </c>
    </row>
    <row r="617" spans="1:7" ht="12.4" customHeight="1" x14ac:dyDescent="0.3">
      <c r="A617" s="255"/>
      <c r="B617" s="22"/>
      <c r="C617" s="22" t="s">
        <v>56</v>
      </c>
      <c r="D617" s="256">
        <f>12*50/60</f>
        <v>10</v>
      </c>
      <c r="E617" s="256">
        <f>12*50/60</f>
        <v>10</v>
      </c>
      <c r="F617" s="256">
        <v>12</v>
      </c>
      <c r="G617" s="257">
        <v>12</v>
      </c>
    </row>
    <row r="618" spans="1:7" ht="12.4" customHeight="1" x14ac:dyDescent="0.3">
      <c r="A618" s="255">
        <v>355</v>
      </c>
      <c r="B618" s="22" t="s">
        <v>66</v>
      </c>
      <c r="C618" s="22" t="s">
        <v>341</v>
      </c>
      <c r="D618" s="256"/>
      <c r="E618" s="256">
        <v>60</v>
      </c>
      <c r="F618" s="256"/>
      <c r="G618" s="257">
        <v>80</v>
      </c>
    </row>
    <row r="619" spans="1:7" ht="12.4" customHeight="1" x14ac:dyDescent="0.3">
      <c r="A619" s="255"/>
      <c r="B619" s="22"/>
      <c r="C619" s="22" t="s">
        <v>67</v>
      </c>
      <c r="D619" s="256">
        <f>250*E618/1000</f>
        <v>15</v>
      </c>
      <c r="E619" s="256">
        <f>250*E618/1000</f>
        <v>15</v>
      </c>
      <c r="F619" s="256">
        <f>250*G618/1000</f>
        <v>20</v>
      </c>
      <c r="G619" s="257">
        <f>250*G618/1000</f>
        <v>20</v>
      </c>
    </row>
    <row r="620" spans="1:7" ht="12.4" customHeight="1" x14ac:dyDescent="0.3">
      <c r="A620" s="255"/>
      <c r="B620" s="22"/>
      <c r="C620" s="22" t="s">
        <v>119</v>
      </c>
      <c r="D620" s="256">
        <f>75*E618/1000</f>
        <v>4.5</v>
      </c>
      <c r="E620" s="256">
        <f>75*E618/1000</f>
        <v>4.5</v>
      </c>
      <c r="F620" s="256">
        <f>75*G618/1000</f>
        <v>6</v>
      </c>
      <c r="G620" s="257">
        <f>75*G618/1000</f>
        <v>6</v>
      </c>
    </row>
    <row r="621" spans="1:7" ht="12.4" customHeight="1" x14ac:dyDescent="0.3">
      <c r="A621" s="255"/>
      <c r="B621" s="22"/>
      <c r="C621" s="22" t="s">
        <v>56</v>
      </c>
      <c r="D621" s="256">
        <f>750*E618/1000</f>
        <v>45</v>
      </c>
      <c r="E621" s="256">
        <f>750*E618/1000</f>
        <v>45</v>
      </c>
      <c r="F621" s="256">
        <f>750*G618/1000</f>
        <v>60</v>
      </c>
      <c r="G621" s="257">
        <f>750*G618/1000</f>
        <v>60</v>
      </c>
    </row>
    <row r="622" spans="1:7" s="18" customFormat="1" ht="12.4" customHeight="1" x14ac:dyDescent="0.3">
      <c r="A622" s="255"/>
      <c r="B622" s="22"/>
      <c r="C622" s="22" t="s">
        <v>115</v>
      </c>
      <c r="D622" s="256">
        <v>0</v>
      </c>
      <c r="E622" s="256">
        <v>0</v>
      </c>
      <c r="F622" s="256">
        <f>40*G618/1000</f>
        <v>3.2</v>
      </c>
      <c r="G622" s="257">
        <f>40*G618/1000</f>
        <v>3.2</v>
      </c>
    </row>
    <row r="623" spans="1:7" s="18" customFormat="1" ht="12.4" customHeight="1" x14ac:dyDescent="0.3">
      <c r="A623" s="255"/>
      <c r="B623" s="22"/>
      <c r="C623" s="22" t="s">
        <v>58</v>
      </c>
      <c r="D623" s="256">
        <f>8*E618/1000</f>
        <v>0.48</v>
      </c>
      <c r="E623" s="256">
        <f>8*E618/1000</f>
        <v>0.48</v>
      </c>
      <c r="F623" s="256">
        <f>8*G618/1000</f>
        <v>0.64</v>
      </c>
      <c r="G623" s="257">
        <f>8*G618/1000</f>
        <v>0.64</v>
      </c>
    </row>
    <row r="624" spans="1:7" s="18" customFormat="1" ht="12.4" customHeight="1" x14ac:dyDescent="0.3">
      <c r="A624" s="183">
        <v>132</v>
      </c>
      <c r="B624" s="22" t="s">
        <v>262</v>
      </c>
      <c r="C624" s="53" t="s">
        <v>152</v>
      </c>
      <c r="D624" s="256">
        <v>206</v>
      </c>
      <c r="E624" s="256">
        <v>165</v>
      </c>
      <c r="F624" s="256">
        <v>206</v>
      </c>
      <c r="G624" s="257">
        <v>165</v>
      </c>
    </row>
    <row r="625" spans="1:7" s="18" customFormat="1" ht="12.4" customHeight="1" x14ac:dyDescent="0.3">
      <c r="A625" s="255"/>
      <c r="B625" s="22" t="s">
        <v>427</v>
      </c>
      <c r="C625" s="53" t="s">
        <v>113</v>
      </c>
      <c r="D625" s="256">
        <v>6</v>
      </c>
      <c r="E625" s="256">
        <v>6</v>
      </c>
      <c r="F625" s="256">
        <v>6</v>
      </c>
      <c r="G625" s="257">
        <v>6</v>
      </c>
    </row>
    <row r="626" spans="1:7" s="18" customFormat="1" ht="12.4" customHeight="1" x14ac:dyDescent="0.3">
      <c r="A626" s="255"/>
      <c r="B626" s="22"/>
      <c r="C626" s="53" t="s">
        <v>115</v>
      </c>
      <c r="D626" s="256">
        <v>5</v>
      </c>
      <c r="E626" s="256">
        <v>5</v>
      </c>
      <c r="F626" s="256">
        <v>5</v>
      </c>
      <c r="G626" s="257">
        <v>5</v>
      </c>
    </row>
    <row r="627" spans="1:7" s="18" customFormat="1" ht="12.4" customHeight="1" x14ac:dyDescent="0.3">
      <c r="A627" s="255"/>
      <c r="B627" s="22"/>
      <c r="C627" s="53" t="s">
        <v>64</v>
      </c>
      <c r="D627" s="280">
        <v>10</v>
      </c>
      <c r="E627" s="280">
        <v>8</v>
      </c>
      <c r="F627" s="280">
        <v>10</v>
      </c>
      <c r="G627" s="281">
        <v>8</v>
      </c>
    </row>
    <row r="628" spans="1:7" s="18" customFormat="1" ht="12.4" customHeight="1" x14ac:dyDescent="0.3">
      <c r="A628" s="255"/>
      <c r="B628" s="22"/>
      <c r="C628" s="53" t="s">
        <v>194</v>
      </c>
      <c r="D628" s="280">
        <v>5</v>
      </c>
      <c r="E628" s="280">
        <v>3</v>
      </c>
      <c r="F628" s="280">
        <v>5</v>
      </c>
      <c r="G628" s="281">
        <v>3</v>
      </c>
    </row>
    <row r="629" spans="1:7" s="18" customFormat="1" ht="12.4" customHeight="1" x14ac:dyDescent="0.3">
      <c r="A629" s="255"/>
      <c r="B629" s="22"/>
      <c r="C629" s="53" t="s">
        <v>62</v>
      </c>
      <c r="D629" s="280">
        <v>13</v>
      </c>
      <c r="E629" s="280">
        <v>11</v>
      </c>
      <c r="F629" s="280">
        <v>13</v>
      </c>
      <c r="G629" s="281">
        <v>11</v>
      </c>
    </row>
    <row r="630" spans="1:7" s="18" customFormat="1" ht="12.4" customHeight="1" x14ac:dyDescent="0.3">
      <c r="A630" s="255"/>
      <c r="B630" s="22"/>
      <c r="C630" s="53" t="s">
        <v>119</v>
      </c>
      <c r="D630" s="280">
        <v>3</v>
      </c>
      <c r="E630" s="280">
        <v>3</v>
      </c>
      <c r="F630" s="280">
        <v>3</v>
      </c>
      <c r="G630" s="281">
        <v>3</v>
      </c>
    </row>
    <row r="631" spans="1:7" s="18" customFormat="1" ht="12.4" customHeight="1" x14ac:dyDescent="0.3">
      <c r="A631" s="255"/>
      <c r="B631" s="22"/>
      <c r="C631" s="53" t="s">
        <v>57</v>
      </c>
      <c r="D631" s="280">
        <v>4</v>
      </c>
      <c r="E631" s="280">
        <v>4</v>
      </c>
      <c r="F631" s="280">
        <v>4</v>
      </c>
      <c r="G631" s="281">
        <v>4</v>
      </c>
    </row>
    <row r="632" spans="1:7" s="18" customFormat="1" ht="12.4" customHeight="1" x14ac:dyDescent="0.3">
      <c r="A632" s="183">
        <v>398</v>
      </c>
      <c r="B632" s="22" t="s">
        <v>168</v>
      </c>
      <c r="C632" s="53" t="s">
        <v>413</v>
      </c>
      <c r="D632" s="256">
        <v>10</v>
      </c>
      <c r="E632" s="256">
        <v>10</v>
      </c>
      <c r="F632" s="256">
        <v>15</v>
      </c>
      <c r="G632" s="257">
        <v>15</v>
      </c>
    </row>
    <row r="633" spans="1:7" s="18" customFormat="1" ht="12.4" customHeight="1" x14ac:dyDescent="0.3">
      <c r="A633" s="183"/>
      <c r="B633" s="22"/>
      <c r="C633" s="53" t="s">
        <v>56</v>
      </c>
      <c r="D633" s="256">
        <v>150</v>
      </c>
      <c r="E633" s="256">
        <v>150</v>
      </c>
      <c r="F633" s="256">
        <v>180</v>
      </c>
      <c r="G633" s="257">
        <v>180</v>
      </c>
    </row>
    <row r="634" spans="1:7" s="18" customFormat="1" ht="12.4" customHeight="1" x14ac:dyDescent="0.3">
      <c r="A634" s="255"/>
      <c r="B634" s="22" t="s">
        <v>61</v>
      </c>
      <c r="C634" s="53" t="s">
        <v>57</v>
      </c>
      <c r="D634" s="256">
        <v>7</v>
      </c>
      <c r="E634" s="256">
        <v>7</v>
      </c>
      <c r="F634" s="256">
        <v>10</v>
      </c>
      <c r="G634" s="257">
        <v>10</v>
      </c>
    </row>
    <row r="635" spans="1:7" s="18" customFormat="1" ht="12.4" customHeight="1" x14ac:dyDescent="0.3">
      <c r="A635" s="255">
        <v>1</v>
      </c>
      <c r="B635" s="22" t="s">
        <v>76</v>
      </c>
      <c r="C635" s="22" t="s">
        <v>76</v>
      </c>
      <c r="D635" s="256">
        <v>20</v>
      </c>
      <c r="E635" s="256">
        <v>20</v>
      </c>
      <c r="F635" s="256">
        <v>30</v>
      </c>
      <c r="G635" s="257">
        <v>30</v>
      </c>
    </row>
    <row r="636" spans="1:7" s="18" customFormat="1" ht="12.4" customHeight="1" thickBot="1" x14ac:dyDescent="0.35">
      <c r="A636" s="96">
        <v>1</v>
      </c>
      <c r="B636" s="26" t="s">
        <v>18</v>
      </c>
      <c r="C636" s="26" t="s">
        <v>18</v>
      </c>
      <c r="D636" s="258">
        <v>17</v>
      </c>
      <c r="E636" s="258">
        <v>17</v>
      </c>
      <c r="F636" s="258">
        <v>21</v>
      </c>
      <c r="G636" s="259">
        <v>21</v>
      </c>
    </row>
    <row r="637" spans="1:7" s="18" customFormat="1" ht="12.4" customHeight="1" x14ac:dyDescent="0.3">
      <c r="A637" s="270" t="s">
        <v>442</v>
      </c>
      <c r="B637" s="44" t="s">
        <v>441</v>
      </c>
      <c r="C637" s="44" t="s">
        <v>97</v>
      </c>
      <c r="D637" s="253">
        <f>837*57/1000</f>
        <v>47.709000000000003</v>
      </c>
      <c r="E637" s="253">
        <f>820*57/1000</f>
        <v>46.74</v>
      </c>
      <c r="F637" s="253">
        <f>837*95/1000</f>
        <v>79.515000000000001</v>
      </c>
      <c r="G637" s="254">
        <f>820*95/1000</f>
        <v>77.900000000000006</v>
      </c>
    </row>
    <row r="638" spans="1:7" s="18" customFormat="1" ht="12.4" customHeight="1" x14ac:dyDescent="0.3">
      <c r="A638" s="255"/>
      <c r="B638" s="53" t="s">
        <v>443</v>
      </c>
      <c r="C638" s="22" t="s">
        <v>68</v>
      </c>
      <c r="D638" s="256">
        <f>115*57/1000</f>
        <v>6.5549999999999997</v>
      </c>
      <c r="E638" s="256">
        <f>115*57/1000</f>
        <v>6.5549999999999997</v>
      </c>
      <c r="F638" s="256">
        <f>115*95/1000</f>
        <v>10.925000000000001</v>
      </c>
      <c r="G638" s="257">
        <f>115*95/1000</f>
        <v>10.925000000000001</v>
      </c>
    </row>
    <row r="639" spans="1:7" s="18" customFormat="1" ht="12.4" customHeight="1" x14ac:dyDescent="0.3">
      <c r="A639" s="255"/>
      <c r="B639" s="53"/>
      <c r="C639" s="22" t="s">
        <v>57</v>
      </c>
      <c r="D639" s="256">
        <f>60*57/1000</f>
        <v>3.42</v>
      </c>
      <c r="E639" s="256">
        <f>60*57/1000</f>
        <v>3.42</v>
      </c>
      <c r="F639" s="256">
        <f>60*95/1000</f>
        <v>5.7</v>
      </c>
      <c r="G639" s="257">
        <v>5.7</v>
      </c>
    </row>
    <row r="640" spans="1:7" s="18" customFormat="1" ht="12.4" customHeight="1" x14ac:dyDescent="0.3">
      <c r="A640" s="255"/>
      <c r="B640" s="22" t="s">
        <v>444</v>
      </c>
      <c r="C640" s="22" t="s">
        <v>133</v>
      </c>
      <c r="D640" s="256">
        <v>3.4</v>
      </c>
      <c r="E640" s="256">
        <v>3.4</v>
      </c>
      <c r="F640" s="256">
        <v>5.7</v>
      </c>
      <c r="G640" s="257">
        <v>5.7</v>
      </c>
    </row>
    <row r="641" spans="1:7" s="18" customFormat="1" ht="12.4" customHeight="1" x14ac:dyDescent="0.3">
      <c r="A641" s="255"/>
      <c r="B641" s="22"/>
      <c r="C641" s="22" t="s">
        <v>58</v>
      </c>
      <c r="D641" s="256">
        <f>2.5*57/1000</f>
        <v>0.14249999999999999</v>
      </c>
      <c r="E641" s="256">
        <f>2.5*57/1000</f>
        <v>0.14249999999999999</v>
      </c>
      <c r="F641" s="256">
        <f>2.5*93/1000</f>
        <v>0.23250000000000001</v>
      </c>
      <c r="G641" s="257">
        <v>0.2</v>
      </c>
    </row>
    <row r="642" spans="1:7" s="18" customFormat="1" ht="12" customHeight="1" x14ac:dyDescent="0.3">
      <c r="A642" s="255"/>
      <c r="B642" s="22"/>
      <c r="C642" s="22" t="s">
        <v>154</v>
      </c>
      <c r="D642" s="256">
        <v>5</v>
      </c>
      <c r="E642" s="256">
        <v>5</v>
      </c>
      <c r="F642" s="256">
        <v>5</v>
      </c>
      <c r="G642" s="257">
        <v>5</v>
      </c>
    </row>
    <row r="643" spans="1:7" s="18" customFormat="1" ht="12" customHeight="1" x14ac:dyDescent="0.3">
      <c r="A643" s="183">
        <v>392</v>
      </c>
      <c r="B643" s="22" t="s">
        <v>556</v>
      </c>
      <c r="C643" s="53" t="s">
        <v>557</v>
      </c>
      <c r="D643" s="416">
        <v>0.2</v>
      </c>
      <c r="E643" s="416">
        <v>0.2</v>
      </c>
      <c r="F643" s="416">
        <v>0.3</v>
      </c>
      <c r="G643" s="417">
        <v>0.3</v>
      </c>
    </row>
    <row r="644" spans="1:7" s="18" customFormat="1" ht="12" customHeight="1" x14ac:dyDescent="0.3">
      <c r="A644" s="183" t="s">
        <v>450</v>
      </c>
      <c r="B644" s="22" t="s">
        <v>191</v>
      </c>
      <c r="C644" s="22" t="s">
        <v>211</v>
      </c>
      <c r="D644" s="256">
        <v>20</v>
      </c>
      <c r="E644" s="256">
        <v>20</v>
      </c>
      <c r="F644" s="256">
        <v>50</v>
      </c>
      <c r="G644" s="257">
        <v>50</v>
      </c>
    </row>
    <row r="645" spans="1:7" s="18" customFormat="1" ht="12.65" customHeight="1" thickBot="1" x14ac:dyDescent="0.35">
      <c r="A645" s="96">
        <v>1</v>
      </c>
      <c r="B645" s="26" t="s">
        <v>18</v>
      </c>
      <c r="C645" s="26" t="s">
        <v>18</v>
      </c>
      <c r="D645" s="258">
        <v>17</v>
      </c>
      <c r="E645" s="258">
        <v>17</v>
      </c>
      <c r="F645" s="258">
        <v>21</v>
      </c>
      <c r="G645" s="259">
        <v>21</v>
      </c>
    </row>
    <row r="646" spans="1:7" s="18" customFormat="1" ht="11.25" customHeight="1" x14ac:dyDescent="0.3">
      <c r="A646" s="95"/>
      <c r="B646" s="596" t="s">
        <v>165</v>
      </c>
      <c r="C646" s="596"/>
      <c r="D646" s="592" t="s">
        <v>72</v>
      </c>
      <c r="E646" s="592"/>
      <c r="F646" s="592" t="s">
        <v>73</v>
      </c>
      <c r="G646" s="593"/>
    </row>
    <row r="647" spans="1:7" s="18" customFormat="1" ht="16.5" customHeight="1" thickBot="1" x14ac:dyDescent="0.35">
      <c r="A647" s="96"/>
      <c r="B647" s="597"/>
      <c r="C647" s="597"/>
      <c r="D647" s="158" t="s">
        <v>96</v>
      </c>
      <c r="E647" s="159" t="s">
        <v>48</v>
      </c>
      <c r="F647" s="158" t="s">
        <v>96</v>
      </c>
      <c r="G647" s="160" t="s">
        <v>48</v>
      </c>
    </row>
    <row r="648" spans="1:7" s="18" customFormat="1" ht="9" customHeight="1" x14ac:dyDescent="0.3">
      <c r="A648" s="432">
        <v>168</v>
      </c>
      <c r="B648" s="433" t="s">
        <v>377</v>
      </c>
      <c r="C648" s="434" t="s">
        <v>118</v>
      </c>
      <c r="D648" s="435">
        <f>222*150/1000</f>
        <v>33.299999999999997</v>
      </c>
      <c r="E648" s="435">
        <f>222*150/1000</f>
        <v>33.299999999999997</v>
      </c>
      <c r="F648" s="435">
        <f>222*200/1000</f>
        <v>44.4</v>
      </c>
      <c r="G648" s="436">
        <f>222*200/1000</f>
        <v>44.4</v>
      </c>
    </row>
    <row r="649" spans="1:7" s="18" customFormat="1" ht="9" customHeight="1" x14ac:dyDescent="0.3">
      <c r="A649" s="437"/>
      <c r="B649" s="438" t="s">
        <v>212</v>
      </c>
      <c r="C649" s="439" t="s">
        <v>53</v>
      </c>
      <c r="D649" s="440">
        <f>0.82*150</f>
        <v>122.99999999999999</v>
      </c>
      <c r="E649" s="440">
        <f>0.82*150</f>
        <v>122.99999999999999</v>
      </c>
      <c r="F649" s="440">
        <f>0.82*200</f>
        <v>164</v>
      </c>
      <c r="G649" s="441">
        <f>0.82*200</f>
        <v>164</v>
      </c>
    </row>
    <row r="650" spans="1:7" s="18" customFormat="1" ht="9" customHeight="1" x14ac:dyDescent="0.3">
      <c r="A650" s="437"/>
      <c r="B650" s="438" t="s">
        <v>213</v>
      </c>
      <c r="C650" s="439" t="s">
        <v>153</v>
      </c>
      <c r="D650" s="440">
        <f>D649*0.12</f>
        <v>14.759999999999998</v>
      </c>
      <c r="E650" s="440">
        <f>E649*0.12</f>
        <v>14.759999999999998</v>
      </c>
      <c r="F650" s="440">
        <f>F649*0.12</f>
        <v>19.68</v>
      </c>
      <c r="G650" s="441">
        <f>G649*0.12</f>
        <v>19.68</v>
      </c>
    </row>
    <row r="651" spans="1:7" s="18" customFormat="1" ht="9" customHeight="1" x14ac:dyDescent="0.3">
      <c r="A651" s="437"/>
      <c r="B651" s="438"/>
      <c r="C651" s="439" t="s">
        <v>154</v>
      </c>
      <c r="D651" s="440">
        <v>5</v>
      </c>
      <c r="E651" s="440">
        <v>5</v>
      </c>
      <c r="F651" s="440">
        <v>5</v>
      </c>
      <c r="G651" s="441">
        <v>5</v>
      </c>
    </row>
    <row r="652" spans="1:7" s="18" customFormat="1" ht="9" customHeight="1" x14ac:dyDescent="0.3">
      <c r="A652" s="437"/>
      <c r="B652" s="438"/>
      <c r="C652" s="439" t="s">
        <v>57</v>
      </c>
      <c r="D652" s="440">
        <v>5</v>
      </c>
      <c r="E652" s="440">
        <v>5</v>
      </c>
      <c r="F652" s="440">
        <v>5</v>
      </c>
      <c r="G652" s="441">
        <v>5</v>
      </c>
    </row>
    <row r="653" spans="1:7" s="18" customFormat="1" ht="9" customHeight="1" x14ac:dyDescent="0.3">
      <c r="A653" s="442">
        <v>3</v>
      </c>
      <c r="B653" s="438" t="s">
        <v>473</v>
      </c>
      <c r="C653" s="438" t="s">
        <v>474</v>
      </c>
      <c r="D653" s="440">
        <v>24</v>
      </c>
      <c r="E653" s="440">
        <v>24</v>
      </c>
      <c r="F653" s="440">
        <v>30</v>
      </c>
      <c r="G653" s="441">
        <v>30</v>
      </c>
    </row>
    <row r="654" spans="1:7" s="18" customFormat="1" ht="9" customHeight="1" x14ac:dyDescent="0.3">
      <c r="A654" s="443"/>
      <c r="B654" s="438" t="s">
        <v>561</v>
      </c>
      <c r="C654" s="438"/>
      <c r="D654" s="444"/>
      <c r="E654" s="444"/>
      <c r="F654" s="440"/>
      <c r="G654" s="441"/>
    </row>
    <row r="655" spans="1:7" s="18" customFormat="1" ht="9" customHeight="1" x14ac:dyDescent="0.3">
      <c r="A655" s="443"/>
      <c r="B655" s="438"/>
      <c r="C655" s="438"/>
      <c r="D655" s="440"/>
      <c r="E655" s="440"/>
      <c r="F655" s="440"/>
      <c r="G655" s="441"/>
    </row>
    <row r="656" spans="1:7" s="18" customFormat="1" ht="9" customHeight="1" x14ac:dyDescent="0.3">
      <c r="A656" s="437">
        <v>394</v>
      </c>
      <c r="B656" s="438" t="s">
        <v>52</v>
      </c>
      <c r="C656" s="438" t="s">
        <v>78</v>
      </c>
      <c r="D656" s="440">
        <v>0.2</v>
      </c>
      <c r="E656" s="440">
        <v>0.2</v>
      </c>
      <c r="F656" s="440">
        <v>0.3</v>
      </c>
      <c r="G656" s="441">
        <v>0.3</v>
      </c>
    </row>
    <row r="657" spans="1:7" s="18" customFormat="1" ht="9" customHeight="1" x14ac:dyDescent="0.3">
      <c r="A657" s="437"/>
      <c r="B657" s="438"/>
      <c r="C657" s="438" t="s">
        <v>57</v>
      </c>
      <c r="D657" s="440">
        <v>7</v>
      </c>
      <c r="E657" s="440">
        <v>7</v>
      </c>
      <c r="F657" s="440">
        <v>10</v>
      </c>
      <c r="G657" s="441">
        <v>10</v>
      </c>
    </row>
    <row r="658" spans="1:7" s="18" customFormat="1" ht="9" customHeight="1" thickBot="1" x14ac:dyDescent="0.35">
      <c r="A658" s="445"/>
      <c r="B658" s="446"/>
      <c r="C658" s="446" t="s">
        <v>53</v>
      </c>
      <c r="D658" s="447">
        <v>92</v>
      </c>
      <c r="E658" s="447">
        <v>90</v>
      </c>
      <c r="F658" s="447">
        <v>92</v>
      </c>
      <c r="G658" s="448">
        <v>90</v>
      </c>
    </row>
    <row r="659" spans="1:7" s="18" customFormat="1" ht="9" customHeight="1" thickBot="1" x14ac:dyDescent="0.35">
      <c r="A659" s="118">
        <v>368</v>
      </c>
      <c r="B659" s="449" t="s">
        <v>549</v>
      </c>
      <c r="C659" s="450" t="s">
        <v>416</v>
      </c>
      <c r="D659" s="451">
        <v>109</v>
      </c>
      <c r="E659" s="451">
        <v>95</v>
      </c>
      <c r="F659" s="451">
        <v>180</v>
      </c>
      <c r="G659" s="452">
        <v>180</v>
      </c>
    </row>
    <row r="660" spans="1:7" s="18" customFormat="1" ht="9" customHeight="1" x14ac:dyDescent="0.3">
      <c r="A660" s="453">
        <v>54</v>
      </c>
      <c r="B660" s="433" t="s">
        <v>492</v>
      </c>
      <c r="C660" s="433" t="s">
        <v>64</v>
      </c>
      <c r="D660" s="454">
        <f>1005*30/1000</f>
        <v>30.15</v>
      </c>
      <c r="E660" s="454">
        <f>800*30/1000</f>
        <v>24</v>
      </c>
      <c r="F660" s="454">
        <f>1005*50/1000</f>
        <v>50.25</v>
      </c>
      <c r="G660" s="455">
        <f>800*50/1000</f>
        <v>40</v>
      </c>
    </row>
    <row r="661" spans="1:7" s="18" customFormat="1" ht="9" customHeight="1" x14ac:dyDescent="0.3">
      <c r="A661" s="456"/>
      <c r="B661" s="457"/>
      <c r="C661" s="457" t="s">
        <v>493</v>
      </c>
      <c r="D661" s="458">
        <f>1021*30/1000</f>
        <v>30.63</v>
      </c>
      <c r="E661" s="458">
        <f>800*30/1000</f>
        <v>24</v>
      </c>
      <c r="F661" s="458">
        <f>1021*50/1000</f>
        <v>51.05</v>
      </c>
      <c r="G661" s="459">
        <v>48</v>
      </c>
    </row>
    <row r="662" spans="1:7" s="18" customFormat="1" ht="9" customHeight="1" x14ac:dyDescent="0.3">
      <c r="A662" s="437"/>
      <c r="B662" s="460" t="s">
        <v>518</v>
      </c>
      <c r="C662" s="438" t="s">
        <v>62</v>
      </c>
      <c r="D662" s="444">
        <f>196*30/1000</f>
        <v>5.88</v>
      </c>
      <c r="E662" s="444">
        <f>165*30/1000</f>
        <v>4.95</v>
      </c>
      <c r="F662" s="444">
        <f>196*50/1000</f>
        <v>9.8000000000000007</v>
      </c>
      <c r="G662" s="461">
        <f>165*50/1000</f>
        <v>8.25</v>
      </c>
    </row>
    <row r="663" spans="1:7" s="18" customFormat="1" ht="9" customHeight="1" x14ac:dyDescent="0.3">
      <c r="A663" s="437"/>
      <c r="B663" s="462"/>
      <c r="C663" s="438" t="s">
        <v>115</v>
      </c>
      <c r="D663" s="444">
        <v>0</v>
      </c>
      <c r="E663" s="444">
        <v>0</v>
      </c>
      <c r="F663" s="444">
        <f>110*50/1000</f>
        <v>5.5</v>
      </c>
      <c r="G663" s="461">
        <f>110*50/1000</f>
        <v>5.5</v>
      </c>
    </row>
    <row r="664" spans="1:7" s="18" customFormat="1" ht="9" customHeight="1" x14ac:dyDescent="0.3">
      <c r="A664" s="437"/>
      <c r="B664" s="462"/>
      <c r="C664" s="438" t="s">
        <v>113</v>
      </c>
      <c r="D664" s="444">
        <f>50*30/1000</f>
        <v>1.5</v>
      </c>
      <c r="E664" s="444">
        <f>50*30/1000</f>
        <v>1.5</v>
      </c>
      <c r="F664" s="444">
        <f>50*50/1000</f>
        <v>2.5</v>
      </c>
      <c r="G664" s="461">
        <f>50*50/1000</f>
        <v>2.5</v>
      </c>
    </row>
    <row r="665" spans="1:7" s="18" customFormat="1" ht="9" customHeight="1" x14ac:dyDescent="0.3">
      <c r="A665" s="437"/>
      <c r="B665" s="462"/>
      <c r="C665" s="438" t="s">
        <v>57</v>
      </c>
      <c r="D665" s="444">
        <f>12*30/1000</f>
        <v>0.36</v>
      </c>
      <c r="E665" s="444">
        <f>12*30/1000</f>
        <v>0.36</v>
      </c>
      <c r="F665" s="444">
        <f>12*50/1000</f>
        <v>0.6</v>
      </c>
      <c r="G665" s="461">
        <f>12*50/1000</f>
        <v>0.6</v>
      </c>
    </row>
    <row r="666" spans="1:7" s="18" customFormat="1" ht="9" customHeight="1" x14ac:dyDescent="0.3">
      <c r="A666" s="443">
        <v>58</v>
      </c>
      <c r="B666" s="438" t="s">
        <v>364</v>
      </c>
      <c r="C666" s="438" t="s">
        <v>114</v>
      </c>
      <c r="D666" s="444">
        <f>205*180/1000</f>
        <v>36.9</v>
      </c>
      <c r="E666" s="444">
        <f>160*180/1000</f>
        <v>28.8</v>
      </c>
      <c r="F666" s="444">
        <f>205*200/1000</f>
        <v>41</v>
      </c>
      <c r="G666" s="461">
        <f>160*200/1000</f>
        <v>32</v>
      </c>
    </row>
    <row r="667" spans="1:7" s="18" customFormat="1" ht="9" customHeight="1" x14ac:dyDescent="0.3">
      <c r="A667" s="437"/>
      <c r="B667" s="460" t="s">
        <v>550</v>
      </c>
      <c r="C667" s="439" t="s">
        <v>344</v>
      </c>
      <c r="D667" s="444">
        <f>E667*1.33</f>
        <v>47.88</v>
      </c>
      <c r="E667" s="463">
        <f>200*180/1000</f>
        <v>36</v>
      </c>
      <c r="F667" s="444">
        <f>G667*1.33</f>
        <v>53.2</v>
      </c>
      <c r="G667" s="464">
        <f>200*200/1000</f>
        <v>40</v>
      </c>
    </row>
    <row r="668" spans="1:7" s="18" customFormat="1" ht="9" customHeight="1" x14ac:dyDescent="0.3">
      <c r="A668" s="437"/>
      <c r="B668" s="462"/>
      <c r="C668" s="439" t="s">
        <v>344</v>
      </c>
      <c r="D668" s="444">
        <f>E668*1.43</f>
        <v>51.48</v>
      </c>
      <c r="E668" s="463">
        <f>200*180/1000</f>
        <v>36</v>
      </c>
      <c r="F668" s="444">
        <f>G668*1.43</f>
        <v>57.199999999999996</v>
      </c>
      <c r="G668" s="461">
        <f>200*200/1000</f>
        <v>40</v>
      </c>
    </row>
    <row r="669" spans="1:7" s="18" customFormat="1" ht="9" customHeight="1" x14ac:dyDescent="0.3">
      <c r="A669" s="437"/>
      <c r="B669" s="462"/>
      <c r="C669" s="439" t="s">
        <v>344</v>
      </c>
      <c r="D669" s="444">
        <f>E669*1.54</f>
        <v>55.44</v>
      </c>
      <c r="E669" s="463">
        <f>200*180/1000</f>
        <v>36</v>
      </c>
      <c r="F669" s="444">
        <f>G669*1.54</f>
        <v>61.6</v>
      </c>
      <c r="G669" s="461">
        <f>200*200/1000</f>
        <v>40</v>
      </c>
    </row>
    <row r="670" spans="1:7" s="18" customFormat="1" ht="9" customHeight="1" x14ac:dyDescent="0.3">
      <c r="A670" s="437"/>
      <c r="B670" s="462"/>
      <c r="C670" s="439" t="s">
        <v>344</v>
      </c>
      <c r="D670" s="444">
        <f>E670*1.67</f>
        <v>60.12</v>
      </c>
      <c r="E670" s="463">
        <f>200*180/1000</f>
        <v>36</v>
      </c>
      <c r="F670" s="444">
        <f>G670*1.67</f>
        <v>66.8</v>
      </c>
      <c r="G670" s="461">
        <f>200*200/1000</f>
        <v>40</v>
      </c>
    </row>
    <row r="671" spans="1:7" s="18" customFormat="1" ht="9" customHeight="1" x14ac:dyDescent="0.3">
      <c r="A671" s="437"/>
      <c r="B671" s="438"/>
      <c r="C671" s="438" t="s">
        <v>64</v>
      </c>
      <c r="D671" s="444">
        <f>63*180/1000</f>
        <v>11.34</v>
      </c>
      <c r="E671" s="444">
        <f>50*180/1000</f>
        <v>9</v>
      </c>
      <c r="F671" s="444">
        <f>63*200/1000</f>
        <v>12.6</v>
      </c>
      <c r="G671" s="461">
        <f>50*200/1000</f>
        <v>10</v>
      </c>
    </row>
    <row r="672" spans="1:7" s="18" customFormat="1" ht="9" customHeight="1" x14ac:dyDescent="0.3">
      <c r="A672" s="437"/>
      <c r="B672" s="438"/>
      <c r="C672" s="438" t="s">
        <v>62</v>
      </c>
      <c r="D672" s="444">
        <f>48*180/1000</f>
        <v>8.64</v>
      </c>
      <c r="E672" s="444">
        <f>40*180/1000</f>
        <v>7.2</v>
      </c>
      <c r="F672" s="444">
        <f>48*200/1000</f>
        <v>9.6</v>
      </c>
      <c r="G672" s="461">
        <f>40*200/1000</f>
        <v>8</v>
      </c>
    </row>
    <row r="673" spans="1:7" s="18" customFormat="1" ht="9" customHeight="1" x14ac:dyDescent="0.3">
      <c r="A673" s="437"/>
      <c r="B673" s="438"/>
      <c r="C673" s="438" t="s">
        <v>115</v>
      </c>
      <c r="D673" s="444">
        <v>0</v>
      </c>
      <c r="E673" s="444">
        <v>0</v>
      </c>
      <c r="F673" s="444">
        <f>30*200/1000*0.4</f>
        <v>2.4000000000000004</v>
      </c>
      <c r="G673" s="461">
        <f>30*200/1000*0.4</f>
        <v>2.4000000000000004</v>
      </c>
    </row>
    <row r="674" spans="1:7" s="18" customFormat="1" ht="9" customHeight="1" x14ac:dyDescent="0.3">
      <c r="A674" s="437"/>
      <c r="B674" s="438"/>
      <c r="C674" s="438" t="s">
        <v>113</v>
      </c>
      <c r="D674" s="444">
        <f>20*180/1000</f>
        <v>3.6</v>
      </c>
      <c r="E674" s="444">
        <f>20*180/1000</f>
        <v>3.6</v>
      </c>
      <c r="F674" s="444">
        <f>20*200/1000</f>
        <v>4</v>
      </c>
      <c r="G674" s="461">
        <f>20*200/1000</f>
        <v>4</v>
      </c>
    </row>
    <row r="675" spans="1:7" s="18" customFormat="1" ht="9" customHeight="1" x14ac:dyDescent="0.3">
      <c r="A675" s="437"/>
      <c r="B675" s="438"/>
      <c r="C675" s="438" t="s">
        <v>57</v>
      </c>
      <c r="D675" s="444">
        <f>6*180/1000</f>
        <v>1.08</v>
      </c>
      <c r="E675" s="444">
        <f>6*180/1000</f>
        <v>1.08</v>
      </c>
      <c r="F675" s="444">
        <f>6*200/1000</f>
        <v>1.2</v>
      </c>
      <c r="G675" s="461">
        <f>6*200/1000</f>
        <v>1.2</v>
      </c>
    </row>
    <row r="676" spans="1:7" s="18" customFormat="1" ht="9" customHeight="1" x14ac:dyDescent="0.3">
      <c r="A676" s="437"/>
      <c r="B676" s="438"/>
      <c r="C676" s="438" t="s">
        <v>67</v>
      </c>
      <c r="D676" s="440">
        <v>10</v>
      </c>
      <c r="E676" s="440">
        <v>10</v>
      </c>
      <c r="F676" s="440">
        <v>10</v>
      </c>
      <c r="G676" s="441">
        <v>10</v>
      </c>
    </row>
    <row r="677" spans="1:7" s="18" customFormat="1" ht="9" customHeight="1" x14ac:dyDescent="0.3">
      <c r="A677" s="443">
        <v>258</v>
      </c>
      <c r="B677" s="438" t="s">
        <v>144</v>
      </c>
      <c r="C677" s="438" t="s">
        <v>319</v>
      </c>
      <c r="D677" s="440">
        <f>54*70/60</f>
        <v>63</v>
      </c>
      <c r="E677" s="440">
        <f>51*70/60</f>
        <v>59.5</v>
      </c>
      <c r="F677" s="440">
        <v>72</v>
      </c>
      <c r="G677" s="441">
        <v>68</v>
      </c>
    </row>
    <row r="678" spans="1:7" s="18" customFormat="1" ht="9" customHeight="1" x14ac:dyDescent="0.3">
      <c r="A678" s="437"/>
      <c r="B678" s="438" t="s">
        <v>414</v>
      </c>
      <c r="C678" s="438" t="s">
        <v>392</v>
      </c>
      <c r="D678" s="440">
        <f>182*E678/122</f>
        <v>88.76229508196721</v>
      </c>
      <c r="E678" s="440">
        <f>51*70/60</f>
        <v>59.5</v>
      </c>
      <c r="F678" s="440">
        <f>182*G678/122</f>
        <v>101.44262295081967</v>
      </c>
      <c r="G678" s="441">
        <v>68</v>
      </c>
    </row>
    <row r="679" spans="1:7" s="18" customFormat="1" ht="9" customHeight="1" x14ac:dyDescent="0.3">
      <c r="A679" s="437"/>
      <c r="B679" s="438"/>
      <c r="C679" s="438" t="s">
        <v>303</v>
      </c>
      <c r="D679" s="440">
        <f>E679*1.54</f>
        <v>91.63</v>
      </c>
      <c r="E679" s="440">
        <f>51*70/60</f>
        <v>59.5</v>
      </c>
      <c r="F679" s="440">
        <f>G679*1.54</f>
        <v>104.72</v>
      </c>
      <c r="G679" s="441">
        <v>68</v>
      </c>
    </row>
    <row r="680" spans="1:7" s="18" customFormat="1" ht="9" customHeight="1" x14ac:dyDescent="0.3">
      <c r="A680" s="437"/>
      <c r="B680" s="438"/>
      <c r="C680" s="438" t="s">
        <v>304</v>
      </c>
      <c r="D680" s="440">
        <f>152*E680/91</f>
        <v>99.384615384615387</v>
      </c>
      <c r="E680" s="440">
        <f>51*70/60</f>
        <v>59.5</v>
      </c>
      <c r="F680" s="440">
        <f>152*G680/91</f>
        <v>113.58241758241758</v>
      </c>
      <c r="G680" s="441">
        <v>68</v>
      </c>
    </row>
    <row r="681" spans="1:7" s="18" customFormat="1" ht="9" customHeight="1" x14ac:dyDescent="0.3">
      <c r="A681" s="437"/>
      <c r="B681" s="438"/>
      <c r="C681" s="438" t="s">
        <v>62</v>
      </c>
      <c r="D681" s="440">
        <v>12</v>
      </c>
      <c r="E681" s="440">
        <v>10</v>
      </c>
      <c r="F681" s="440">
        <v>16</v>
      </c>
      <c r="G681" s="441">
        <v>13</v>
      </c>
    </row>
    <row r="682" spans="1:7" s="18" customFormat="1" ht="9" customHeight="1" x14ac:dyDescent="0.3">
      <c r="A682" s="437"/>
      <c r="B682" s="438"/>
      <c r="C682" s="438" t="s">
        <v>194</v>
      </c>
      <c r="D682" s="440">
        <v>3</v>
      </c>
      <c r="E682" s="440">
        <v>2</v>
      </c>
      <c r="F682" s="440">
        <v>4</v>
      </c>
      <c r="G682" s="441">
        <v>3</v>
      </c>
    </row>
    <row r="683" spans="1:7" s="18" customFormat="1" ht="9" customHeight="1" x14ac:dyDescent="0.3">
      <c r="A683" s="437"/>
      <c r="B683" s="438" t="s">
        <v>415</v>
      </c>
      <c r="C683" s="438" t="s">
        <v>53</v>
      </c>
      <c r="D683" s="440">
        <v>5</v>
      </c>
      <c r="E683" s="440">
        <v>5</v>
      </c>
      <c r="F683" s="440">
        <v>6</v>
      </c>
      <c r="G683" s="441">
        <v>6</v>
      </c>
    </row>
    <row r="684" spans="1:7" s="18" customFormat="1" ht="9" customHeight="1" x14ac:dyDescent="0.3">
      <c r="A684" s="437"/>
      <c r="B684" s="438"/>
      <c r="C684" s="438" t="s">
        <v>133</v>
      </c>
      <c r="D684" s="440">
        <f>10*200/1000</f>
        <v>2</v>
      </c>
      <c r="E684" s="440">
        <f>10*200/1000</f>
        <v>2</v>
      </c>
      <c r="F684" s="440">
        <v>3</v>
      </c>
      <c r="G684" s="441">
        <v>3</v>
      </c>
    </row>
    <row r="685" spans="1:7" s="18" customFormat="1" ht="9" customHeight="1" x14ac:dyDescent="0.3">
      <c r="A685" s="437"/>
      <c r="B685" s="438"/>
      <c r="C685" s="465" t="s">
        <v>313</v>
      </c>
      <c r="D685" s="440">
        <f>E685*1.56</f>
        <v>12.74</v>
      </c>
      <c r="E685" s="440">
        <f>7*70/60</f>
        <v>8.1666666666666661</v>
      </c>
      <c r="F685" s="440">
        <f>84*10/60</f>
        <v>14</v>
      </c>
      <c r="G685" s="441">
        <v>10</v>
      </c>
    </row>
    <row r="686" spans="1:7" s="18" customFormat="1" ht="9" customHeight="1" x14ac:dyDescent="0.3">
      <c r="A686" s="437"/>
      <c r="B686" s="438"/>
      <c r="C686" s="465" t="s">
        <v>113</v>
      </c>
      <c r="D686" s="440">
        <v>2</v>
      </c>
      <c r="E686" s="440">
        <v>2</v>
      </c>
      <c r="F686" s="440">
        <v>3</v>
      </c>
      <c r="G686" s="441">
        <v>3</v>
      </c>
    </row>
    <row r="687" spans="1:7" s="18" customFormat="1" ht="9" customHeight="1" x14ac:dyDescent="0.3">
      <c r="A687" s="437"/>
      <c r="B687" s="438"/>
      <c r="C687" s="465" t="s">
        <v>229</v>
      </c>
      <c r="D687" s="440">
        <v>5</v>
      </c>
      <c r="E687" s="440">
        <v>5</v>
      </c>
      <c r="F687" s="440">
        <v>5</v>
      </c>
      <c r="G687" s="441">
        <v>5</v>
      </c>
    </row>
    <row r="688" spans="1:7" s="18" customFormat="1" ht="9" customHeight="1" x14ac:dyDescent="0.3">
      <c r="A688" s="437">
        <v>321</v>
      </c>
      <c r="B688" s="438" t="s">
        <v>104</v>
      </c>
      <c r="C688" s="438" t="s">
        <v>185</v>
      </c>
      <c r="D688" s="440">
        <f>E688*1.33</f>
        <v>136.458</v>
      </c>
      <c r="E688" s="440">
        <f>855*120/1000</f>
        <v>102.6</v>
      </c>
      <c r="F688" s="440">
        <f>G688*1.33</f>
        <v>170.57250000000002</v>
      </c>
      <c r="G688" s="441">
        <f>855*150/1000</f>
        <v>128.25</v>
      </c>
    </row>
    <row r="689" spans="1:7" s="18" customFormat="1" ht="9" customHeight="1" x14ac:dyDescent="0.3">
      <c r="A689" s="437"/>
      <c r="B689" s="438"/>
      <c r="C689" s="438" t="s">
        <v>186</v>
      </c>
      <c r="D689" s="440">
        <f>E689*1.43</f>
        <v>146.71799999999999</v>
      </c>
      <c r="E689" s="440">
        <f>855*120/1000</f>
        <v>102.6</v>
      </c>
      <c r="F689" s="440">
        <f>G689*1.43</f>
        <v>183.39749999999998</v>
      </c>
      <c r="G689" s="441">
        <f>855*150/1000</f>
        <v>128.25</v>
      </c>
    </row>
    <row r="690" spans="1:7" s="18" customFormat="1" ht="9" customHeight="1" x14ac:dyDescent="0.3">
      <c r="A690" s="437"/>
      <c r="B690" s="438"/>
      <c r="C690" s="438" t="s">
        <v>187</v>
      </c>
      <c r="D690" s="440">
        <f>E690*1.54</f>
        <v>158.00399999999999</v>
      </c>
      <c r="E690" s="440">
        <f>855*120/1000</f>
        <v>102.6</v>
      </c>
      <c r="F690" s="440">
        <f>G690*1.54</f>
        <v>197.505</v>
      </c>
      <c r="G690" s="441">
        <f>855*150/1000</f>
        <v>128.25</v>
      </c>
    </row>
    <row r="691" spans="1:7" s="18" customFormat="1" ht="9" customHeight="1" x14ac:dyDescent="0.3">
      <c r="A691" s="437"/>
      <c r="B691" s="438"/>
      <c r="C691" s="438" t="s">
        <v>188</v>
      </c>
      <c r="D691" s="440">
        <f>E691*1.67</f>
        <v>171.34199999999998</v>
      </c>
      <c r="E691" s="440">
        <f>855*120/1000</f>
        <v>102.6</v>
      </c>
      <c r="F691" s="440">
        <f>G691*1.67</f>
        <v>214.17749999999998</v>
      </c>
      <c r="G691" s="441">
        <f>855*150/1000</f>
        <v>128.25</v>
      </c>
    </row>
    <row r="692" spans="1:7" s="18" customFormat="1" ht="9" customHeight="1" x14ac:dyDescent="0.3">
      <c r="A692" s="437" t="s">
        <v>150</v>
      </c>
      <c r="B692" s="438" t="s">
        <v>387</v>
      </c>
      <c r="C692" s="438" t="s">
        <v>125</v>
      </c>
      <c r="D692" s="440">
        <f>158*120/1000</f>
        <v>18.96</v>
      </c>
      <c r="E692" s="440">
        <f>150*120/1000</f>
        <v>18</v>
      </c>
      <c r="F692" s="440">
        <f>158*150/1000</f>
        <v>23.7</v>
      </c>
      <c r="G692" s="441">
        <f>150*150/1000</f>
        <v>22.5</v>
      </c>
    </row>
    <row r="693" spans="1:7" s="18" customFormat="1" ht="9" customHeight="1" x14ac:dyDescent="0.3">
      <c r="A693" s="437"/>
      <c r="B693" s="438"/>
      <c r="C693" s="438" t="s">
        <v>137</v>
      </c>
      <c r="D693" s="440">
        <f>D692*0.12</f>
        <v>2.2751999999999999</v>
      </c>
      <c r="E693" s="440">
        <f>E692*0.12</f>
        <v>2.16</v>
      </c>
      <c r="F693" s="440">
        <f>F692*0.12</f>
        <v>2.8439999999999999</v>
      </c>
      <c r="G693" s="441">
        <f>G692*0.12</f>
        <v>2.6999999999999997</v>
      </c>
    </row>
    <row r="694" spans="1:7" s="18" customFormat="1" ht="9" customHeight="1" x14ac:dyDescent="0.3">
      <c r="A694" s="437"/>
      <c r="B694" s="438"/>
      <c r="C694" s="438" t="s">
        <v>59</v>
      </c>
      <c r="D694" s="440">
        <f>35*120/1000</f>
        <v>4.2</v>
      </c>
      <c r="E694" s="440">
        <f>35*120/1000</f>
        <v>4.2</v>
      </c>
      <c r="F694" s="440">
        <f>35*150/1000</f>
        <v>5.25</v>
      </c>
      <c r="G694" s="441">
        <f>35*150/1000</f>
        <v>5.25</v>
      </c>
    </row>
    <row r="695" spans="1:7" s="18" customFormat="1" ht="9" customHeight="1" x14ac:dyDescent="0.3">
      <c r="A695" s="437"/>
      <c r="B695" s="438"/>
      <c r="C695" s="438" t="s">
        <v>58</v>
      </c>
      <c r="D695" s="440">
        <f>0.001*120</f>
        <v>0.12</v>
      </c>
      <c r="E695" s="440">
        <f>0.001*120</f>
        <v>0.12</v>
      </c>
      <c r="F695" s="440">
        <f>0.001*150</f>
        <v>0.15</v>
      </c>
      <c r="G695" s="441">
        <f>0.001*150</f>
        <v>0.15</v>
      </c>
    </row>
    <row r="696" spans="1:7" s="18" customFormat="1" ht="9" customHeight="1" x14ac:dyDescent="0.3">
      <c r="A696" s="443">
        <v>376</v>
      </c>
      <c r="B696" s="438" t="s">
        <v>435</v>
      </c>
      <c r="C696" s="439" t="s">
        <v>71</v>
      </c>
      <c r="D696" s="466">
        <f>100*150/1000</f>
        <v>15</v>
      </c>
      <c r="E696" s="466">
        <f>185*150/1000</f>
        <v>27.75</v>
      </c>
      <c r="F696" s="466">
        <f>100*180/1000</f>
        <v>18</v>
      </c>
      <c r="G696" s="467">
        <f>185*180/1000</f>
        <v>33.299999999999997</v>
      </c>
    </row>
    <row r="697" spans="1:7" s="18" customFormat="1" ht="9" customHeight="1" x14ac:dyDescent="0.3">
      <c r="A697" s="468"/>
      <c r="B697" s="438" t="s">
        <v>61</v>
      </c>
      <c r="C697" s="439" t="s">
        <v>494</v>
      </c>
      <c r="D697" s="466">
        <f>100*150/1000</f>
        <v>15</v>
      </c>
      <c r="E697" s="466">
        <f>160*150/1000</f>
        <v>24</v>
      </c>
      <c r="F697" s="466">
        <f>100*180/1000</f>
        <v>18</v>
      </c>
      <c r="G697" s="467">
        <f>160*180/1000</f>
        <v>28.8</v>
      </c>
    </row>
    <row r="698" spans="1:7" s="18" customFormat="1" ht="9" customHeight="1" x14ac:dyDescent="0.3">
      <c r="A698" s="437"/>
      <c r="B698" s="438"/>
      <c r="C698" s="438" t="s">
        <v>56</v>
      </c>
      <c r="D698" s="440">
        <f>860*150/1000</f>
        <v>129</v>
      </c>
      <c r="E698" s="440">
        <f>860*150/1000</f>
        <v>129</v>
      </c>
      <c r="F698" s="440">
        <f>860*180/1000</f>
        <v>154.80000000000001</v>
      </c>
      <c r="G698" s="441">
        <f>860*180/1000</f>
        <v>154.80000000000001</v>
      </c>
    </row>
    <row r="699" spans="1:7" s="18" customFormat="1" ht="9" customHeight="1" x14ac:dyDescent="0.3">
      <c r="A699" s="437"/>
      <c r="B699" s="438"/>
      <c r="C699" s="438" t="s">
        <v>57</v>
      </c>
      <c r="D699" s="440">
        <f>55*150/1000</f>
        <v>8.25</v>
      </c>
      <c r="E699" s="440">
        <f>55*150/1000</f>
        <v>8.25</v>
      </c>
      <c r="F699" s="440">
        <f>55*180/1000</f>
        <v>9.9</v>
      </c>
      <c r="G699" s="441">
        <f>55*180/1000</f>
        <v>9.9</v>
      </c>
    </row>
    <row r="700" spans="1:7" s="18" customFormat="1" ht="9" customHeight="1" x14ac:dyDescent="0.3">
      <c r="A700" s="437"/>
      <c r="B700" s="438"/>
      <c r="C700" s="438" t="s">
        <v>161</v>
      </c>
      <c r="D700" s="440">
        <f>1*150/1000</f>
        <v>0.15</v>
      </c>
      <c r="E700" s="440">
        <f>1*150/1000</f>
        <v>0.15</v>
      </c>
      <c r="F700" s="440">
        <f>1*180/1000</f>
        <v>0.18</v>
      </c>
      <c r="G700" s="441">
        <f>1*180/1000</f>
        <v>0.18</v>
      </c>
    </row>
    <row r="701" spans="1:7" s="18" customFormat="1" ht="9" customHeight="1" x14ac:dyDescent="0.3">
      <c r="A701" s="437">
        <v>1</v>
      </c>
      <c r="B701" s="438" t="s">
        <v>76</v>
      </c>
      <c r="C701" s="438" t="s">
        <v>76</v>
      </c>
      <c r="D701" s="440">
        <v>20</v>
      </c>
      <c r="E701" s="440">
        <v>20</v>
      </c>
      <c r="F701" s="440">
        <v>30</v>
      </c>
      <c r="G701" s="441">
        <v>30</v>
      </c>
    </row>
    <row r="702" spans="1:7" s="18" customFormat="1" ht="9" customHeight="1" thickBot="1" x14ac:dyDescent="0.35">
      <c r="A702" s="445">
        <v>1</v>
      </c>
      <c r="B702" s="446" t="s">
        <v>18</v>
      </c>
      <c r="C702" s="446" t="s">
        <v>18</v>
      </c>
      <c r="D702" s="447">
        <v>17</v>
      </c>
      <c r="E702" s="447">
        <v>17</v>
      </c>
      <c r="F702" s="447">
        <v>21</v>
      </c>
      <c r="G702" s="448">
        <v>21</v>
      </c>
    </row>
    <row r="703" spans="1:7" s="18" customFormat="1" ht="9" customHeight="1" x14ac:dyDescent="0.3">
      <c r="A703" s="469">
        <v>342</v>
      </c>
      <c r="B703" s="433" t="s">
        <v>309</v>
      </c>
      <c r="C703" s="433" t="s">
        <v>185</v>
      </c>
      <c r="D703" s="435">
        <f>E703*1.33</f>
        <v>26.6</v>
      </c>
      <c r="E703" s="435">
        <f>200*100/1000</f>
        <v>20</v>
      </c>
      <c r="F703" s="435">
        <f>G703*1.33</f>
        <v>39.900000000000006</v>
      </c>
      <c r="G703" s="436">
        <f>200*150/1000</f>
        <v>30</v>
      </c>
    </row>
    <row r="704" spans="1:7" s="18" customFormat="1" ht="9" customHeight="1" x14ac:dyDescent="0.3">
      <c r="A704" s="437"/>
      <c r="B704" s="438" t="s">
        <v>285</v>
      </c>
      <c r="C704" s="438" t="s">
        <v>186</v>
      </c>
      <c r="D704" s="440">
        <f>E704*1.43</f>
        <v>28.599999999999998</v>
      </c>
      <c r="E704" s="440">
        <f>200*100/1000</f>
        <v>20</v>
      </c>
      <c r="F704" s="440">
        <f>G704*1.43</f>
        <v>42.9</v>
      </c>
      <c r="G704" s="441">
        <f>200*150/1000</f>
        <v>30</v>
      </c>
    </row>
    <row r="705" spans="1:7" s="18" customFormat="1" ht="9" customHeight="1" x14ac:dyDescent="0.3">
      <c r="A705" s="437"/>
      <c r="B705" s="438"/>
      <c r="C705" s="438" t="s">
        <v>187</v>
      </c>
      <c r="D705" s="440">
        <f>E705*1.54</f>
        <v>30.8</v>
      </c>
      <c r="E705" s="440">
        <f>200*100/1000</f>
        <v>20</v>
      </c>
      <c r="F705" s="440">
        <f>G705*1.54</f>
        <v>46.2</v>
      </c>
      <c r="G705" s="441">
        <f>200*150/1000</f>
        <v>30</v>
      </c>
    </row>
    <row r="706" spans="1:7" s="18" customFormat="1" ht="9" customHeight="1" x14ac:dyDescent="0.3">
      <c r="A706" s="437"/>
      <c r="B706" s="438"/>
      <c r="C706" s="438" t="s">
        <v>64</v>
      </c>
      <c r="D706" s="440">
        <f>228*100/1000</f>
        <v>22.8</v>
      </c>
      <c r="E706" s="440">
        <f>182*100/1000</f>
        <v>18.2</v>
      </c>
      <c r="F706" s="440">
        <f>228*150/1000</f>
        <v>34.200000000000003</v>
      </c>
      <c r="G706" s="441">
        <f>182*150/1000</f>
        <v>27.3</v>
      </c>
    </row>
    <row r="707" spans="1:7" s="18" customFormat="1" ht="9" customHeight="1" x14ac:dyDescent="0.3">
      <c r="A707" s="437"/>
      <c r="B707" s="438"/>
      <c r="C707" s="438" t="s">
        <v>345</v>
      </c>
      <c r="D707" s="440">
        <f>179*100/1000</f>
        <v>17.899999999999999</v>
      </c>
      <c r="E707" s="440">
        <f>120*100/1000</f>
        <v>12</v>
      </c>
      <c r="F707" s="440">
        <f>179*150/1000</f>
        <v>26.85</v>
      </c>
      <c r="G707" s="441">
        <f>120*150/1000</f>
        <v>18</v>
      </c>
    </row>
    <row r="708" spans="1:7" s="18" customFormat="1" ht="9" customHeight="1" x14ac:dyDescent="0.3">
      <c r="A708" s="437"/>
      <c r="B708" s="438"/>
      <c r="C708" s="438" t="s">
        <v>194</v>
      </c>
      <c r="D708" s="440">
        <f>51*100/1000</f>
        <v>5.0999999999999996</v>
      </c>
      <c r="E708" s="440">
        <f>38*100/1000</f>
        <v>3.8</v>
      </c>
      <c r="F708" s="440">
        <f>51*150/1000</f>
        <v>7.65</v>
      </c>
      <c r="G708" s="441">
        <f>38*150/1000</f>
        <v>5.7</v>
      </c>
    </row>
    <row r="709" spans="1:7" s="18" customFormat="1" ht="9" customHeight="1" x14ac:dyDescent="0.3">
      <c r="A709" s="437"/>
      <c r="B709" s="438"/>
      <c r="C709" s="438" t="s">
        <v>346</v>
      </c>
      <c r="D709" s="440">
        <f>196*100/1000</f>
        <v>19.600000000000001</v>
      </c>
      <c r="E709" s="440">
        <f>102*100/1000</f>
        <v>10.199999999999999</v>
      </c>
      <c r="F709" s="440">
        <f>196*150/1000</f>
        <v>29.4</v>
      </c>
      <c r="G709" s="441">
        <f>102*150/1000</f>
        <v>15.3</v>
      </c>
    </row>
    <row r="710" spans="1:7" s="18" customFormat="1" ht="9" customHeight="1" x14ac:dyDescent="0.3">
      <c r="A710" s="437"/>
      <c r="B710" s="438"/>
      <c r="C710" s="438" t="s">
        <v>159</v>
      </c>
      <c r="D710" s="440">
        <f>123*100/1000</f>
        <v>12.3</v>
      </c>
      <c r="E710" s="440">
        <f>80*100/1000</f>
        <v>8</v>
      </c>
      <c r="F710" s="440">
        <f>123*150/1000</f>
        <v>18.45</v>
      </c>
      <c r="G710" s="441">
        <f>80*150/1000</f>
        <v>12</v>
      </c>
    </row>
    <row r="711" spans="1:7" s="18" customFormat="1" ht="9" customHeight="1" x14ac:dyDescent="0.3">
      <c r="A711" s="437"/>
      <c r="B711" s="438"/>
      <c r="C711" s="438" t="s">
        <v>62</v>
      </c>
      <c r="D711" s="440">
        <f>238*100/1000</f>
        <v>23.8</v>
      </c>
      <c r="E711" s="440">
        <f>200*100/1000</f>
        <v>20</v>
      </c>
      <c r="F711" s="440">
        <f>238*150/1000</f>
        <v>35.700000000000003</v>
      </c>
      <c r="G711" s="441">
        <f>200*150/1000</f>
        <v>30</v>
      </c>
    </row>
    <row r="712" spans="1:7" s="18" customFormat="1" ht="9" customHeight="1" x14ac:dyDescent="0.3">
      <c r="A712" s="437">
        <v>348</v>
      </c>
      <c r="B712" s="438" t="s">
        <v>284</v>
      </c>
      <c r="C712" s="470" t="s">
        <v>347</v>
      </c>
      <c r="D712" s="471"/>
      <c r="E712" s="471">
        <f>300*100/1000</f>
        <v>30</v>
      </c>
      <c r="F712" s="471"/>
      <c r="G712" s="472">
        <f>300*150/1000</f>
        <v>45</v>
      </c>
    </row>
    <row r="713" spans="1:7" s="18" customFormat="1" ht="9" customHeight="1" x14ac:dyDescent="0.3">
      <c r="A713" s="437"/>
      <c r="B713" s="438"/>
      <c r="C713" s="438" t="s">
        <v>151</v>
      </c>
      <c r="D713" s="440">
        <f>1000*E712/1000</f>
        <v>30</v>
      </c>
      <c r="E713" s="440">
        <f>1000*E712/1000</f>
        <v>30</v>
      </c>
      <c r="F713" s="440">
        <f>1000*G712/1000</f>
        <v>45</v>
      </c>
      <c r="G713" s="441">
        <f>1000*G712/1000</f>
        <v>45</v>
      </c>
    </row>
    <row r="714" spans="1:7" s="18" customFormat="1" ht="9" customHeight="1" x14ac:dyDescent="0.3">
      <c r="A714" s="437"/>
      <c r="B714" s="438"/>
      <c r="C714" s="438" t="s">
        <v>154</v>
      </c>
      <c r="D714" s="440">
        <f>45*E712/1000</f>
        <v>1.35</v>
      </c>
      <c r="E714" s="440">
        <f>45*E712/1000</f>
        <v>1.35</v>
      </c>
      <c r="F714" s="440">
        <f>45*G712/1000</f>
        <v>2.0249999999999999</v>
      </c>
      <c r="G714" s="441">
        <f>45*G712/1000</f>
        <v>2.0249999999999999</v>
      </c>
    </row>
    <row r="715" spans="1:7" ht="9" customHeight="1" x14ac:dyDescent="0.3">
      <c r="A715" s="437"/>
      <c r="B715" s="438"/>
      <c r="C715" s="438" t="s">
        <v>119</v>
      </c>
      <c r="D715" s="440">
        <f>45*E712/1000</f>
        <v>1.35</v>
      </c>
      <c r="E715" s="440">
        <f>45*E712/1000</f>
        <v>1.35</v>
      </c>
      <c r="F715" s="440">
        <f>45*G712/1000</f>
        <v>2.0249999999999999</v>
      </c>
      <c r="G715" s="441">
        <f>45*G712/1000</f>
        <v>2.0249999999999999</v>
      </c>
    </row>
    <row r="716" spans="1:7" ht="9" customHeight="1" x14ac:dyDescent="0.3">
      <c r="A716" s="437"/>
      <c r="B716" s="438"/>
      <c r="C716" s="438" t="s">
        <v>64</v>
      </c>
      <c r="D716" s="440">
        <f>75*E712/1000</f>
        <v>2.25</v>
      </c>
      <c r="E716" s="440">
        <f>60*E712/1000</f>
        <v>1.8</v>
      </c>
      <c r="F716" s="440">
        <f>75*G712/1000</f>
        <v>3.375</v>
      </c>
      <c r="G716" s="441">
        <f>60*G712/1000</f>
        <v>2.7</v>
      </c>
    </row>
    <row r="717" spans="1:7" ht="9" customHeight="1" x14ac:dyDescent="0.3">
      <c r="A717" s="437"/>
      <c r="B717" s="438"/>
      <c r="C717" s="438" t="s">
        <v>62</v>
      </c>
      <c r="D717" s="440">
        <f>34*E712/1000</f>
        <v>1.02</v>
      </c>
      <c r="E717" s="440">
        <f>20*E712/1000</f>
        <v>0.6</v>
      </c>
      <c r="F717" s="440">
        <f>34*G712/1000</f>
        <v>1.53</v>
      </c>
      <c r="G717" s="441">
        <f>20*G712/1000</f>
        <v>0.9</v>
      </c>
    </row>
    <row r="718" spans="1:7" ht="9" customHeight="1" x14ac:dyDescent="0.3">
      <c r="A718" s="437"/>
      <c r="B718" s="438"/>
      <c r="C718" s="438" t="s">
        <v>194</v>
      </c>
      <c r="D718" s="440">
        <f>13*E712/1000</f>
        <v>0.39</v>
      </c>
      <c r="E718" s="440">
        <f>10*E712/1000</f>
        <v>0.3</v>
      </c>
      <c r="F718" s="440">
        <f>13*G712/1000</f>
        <v>0.58499999999999996</v>
      </c>
      <c r="G718" s="441">
        <f>10*G712/1000</f>
        <v>0.45</v>
      </c>
    </row>
    <row r="719" spans="1:7" ht="9" customHeight="1" x14ac:dyDescent="0.3">
      <c r="A719" s="437"/>
      <c r="B719" s="438"/>
      <c r="C719" s="438" t="s">
        <v>115</v>
      </c>
      <c r="D719" s="440">
        <v>0</v>
      </c>
      <c r="E719" s="440">
        <v>0</v>
      </c>
      <c r="F719" s="440">
        <f>60*G712/1000</f>
        <v>2.7</v>
      </c>
      <c r="G719" s="441">
        <f>60*G712/1000</f>
        <v>2.7</v>
      </c>
    </row>
    <row r="720" spans="1:7" ht="9" customHeight="1" x14ac:dyDescent="0.3">
      <c r="A720" s="437"/>
      <c r="B720" s="438"/>
      <c r="C720" s="438" t="s">
        <v>154</v>
      </c>
      <c r="D720" s="440">
        <f>15*E712/1000</f>
        <v>0.45</v>
      </c>
      <c r="E720" s="440">
        <f>E712*15/1000</f>
        <v>0.45</v>
      </c>
      <c r="F720" s="440">
        <f>15*G712/1000</f>
        <v>0.67500000000000004</v>
      </c>
      <c r="G720" s="441">
        <f>G712*15/1000</f>
        <v>0.67500000000000004</v>
      </c>
    </row>
    <row r="721" spans="1:7" ht="9" customHeight="1" x14ac:dyDescent="0.3">
      <c r="A721" s="437"/>
      <c r="B721" s="438"/>
      <c r="C721" s="438" t="s">
        <v>57</v>
      </c>
      <c r="D721" s="440">
        <f>10*E712/1000</f>
        <v>0.3</v>
      </c>
      <c r="E721" s="440">
        <f>10*E712/1000</f>
        <v>0.3</v>
      </c>
      <c r="F721" s="440">
        <f>10*G712/1000</f>
        <v>0.45</v>
      </c>
      <c r="G721" s="441">
        <f>10*G712/1000</f>
        <v>0.45</v>
      </c>
    </row>
    <row r="722" spans="1:7" ht="9" customHeight="1" x14ac:dyDescent="0.3">
      <c r="A722" s="437"/>
      <c r="B722" s="438"/>
      <c r="C722" s="438" t="s">
        <v>58</v>
      </c>
      <c r="D722" s="440">
        <f>10*E712/1000</f>
        <v>0.3</v>
      </c>
      <c r="E722" s="440">
        <f>10*E712/1000</f>
        <v>0.3</v>
      </c>
      <c r="F722" s="440">
        <f>10*G712/1000</f>
        <v>0.45</v>
      </c>
      <c r="G722" s="441">
        <f>10*G712/1000</f>
        <v>0.45</v>
      </c>
    </row>
    <row r="723" spans="1:7" ht="9" customHeight="1" x14ac:dyDescent="0.3">
      <c r="A723" s="443">
        <v>300</v>
      </c>
      <c r="B723" s="438" t="s">
        <v>310</v>
      </c>
      <c r="C723" s="438" t="s">
        <v>237</v>
      </c>
      <c r="D723" s="440">
        <f>177</f>
        <v>177</v>
      </c>
      <c r="E723" s="440">
        <f>157</f>
        <v>157</v>
      </c>
      <c r="F723" s="440">
        <f>177</f>
        <v>177</v>
      </c>
      <c r="G723" s="441">
        <f>157</f>
        <v>157</v>
      </c>
    </row>
    <row r="724" spans="1:7" ht="9" customHeight="1" x14ac:dyDescent="0.3">
      <c r="A724" s="437"/>
      <c r="B724" s="462" t="s">
        <v>92</v>
      </c>
      <c r="C724" s="465" t="s">
        <v>216</v>
      </c>
      <c r="D724" s="440">
        <f>84</f>
        <v>84</v>
      </c>
      <c r="E724" s="440">
        <f>82</f>
        <v>82</v>
      </c>
      <c r="F724" s="440">
        <f>84</f>
        <v>84</v>
      </c>
      <c r="G724" s="441">
        <f>82</f>
        <v>82</v>
      </c>
    </row>
    <row r="725" spans="1:7" ht="9" customHeight="1" x14ac:dyDescent="0.3">
      <c r="A725" s="437"/>
      <c r="B725" s="438"/>
      <c r="C725" s="465" t="s">
        <v>176</v>
      </c>
      <c r="D725" s="440">
        <f>119</f>
        <v>119</v>
      </c>
      <c r="E725" s="440">
        <f>68</f>
        <v>68</v>
      </c>
      <c r="F725" s="440">
        <f>119</f>
        <v>119</v>
      </c>
      <c r="G725" s="441">
        <f>68</f>
        <v>68</v>
      </c>
    </row>
    <row r="726" spans="1:7" ht="9" customHeight="1" x14ac:dyDescent="0.3">
      <c r="A726" s="442">
        <v>467</v>
      </c>
      <c r="B726" s="438" t="s">
        <v>466</v>
      </c>
      <c r="C726" s="439" t="s">
        <v>119</v>
      </c>
      <c r="D726" s="440">
        <v>32.700000000000003</v>
      </c>
      <c r="E726" s="440">
        <v>32.700000000000003</v>
      </c>
      <c r="F726" s="440">
        <v>32.799999999999997</v>
      </c>
      <c r="G726" s="441">
        <v>32.799999999999997</v>
      </c>
    </row>
    <row r="727" spans="1:7" ht="9" customHeight="1" x14ac:dyDescent="0.3">
      <c r="A727" s="437"/>
      <c r="B727" s="438" t="s">
        <v>348</v>
      </c>
      <c r="C727" s="439" t="s">
        <v>175</v>
      </c>
      <c r="D727" s="440">
        <f>100/100</f>
        <v>1</v>
      </c>
      <c r="E727" s="440">
        <f>100/100</f>
        <v>1</v>
      </c>
      <c r="F727" s="440">
        <f>100/100</f>
        <v>1</v>
      </c>
      <c r="G727" s="441">
        <f>100/100</f>
        <v>1</v>
      </c>
    </row>
    <row r="728" spans="1:7" ht="9" customHeight="1" x14ac:dyDescent="0.3">
      <c r="A728" s="437"/>
      <c r="B728" s="438"/>
      <c r="C728" s="439" t="s">
        <v>495</v>
      </c>
      <c r="D728" s="440">
        <f>197.5/100</f>
        <v>1.9750000000000001</v>
      </c>
      <c r="E728" s="440">
        <f>197.5/100</f>
        <v>1.9750000000000001</v>
      </c>
      <c r="F728" s="440">
        <f>197.5/100</f>
        <v>1.9750000000000001</v>
      </c>
      <c r="G728" s="441">
        <f>197.5/100</f>
        <v>1.9750000000000001</v>
      </c>
    </row>
    <row r="729" spans="1:7" ht="9" customHeight="1" x14ac:dyDescent="0.3">
      <c r="A729" s="437"/>
      <c r="B729" s="438" t="s">
        <v>445</v>
      </c>
      <c r="C729" s="439" t="s">
        <v>143</v>
      </c>
      <c r="D729" s="440">
        <f>100/100</f>
        <v>1</v>
      </c>
      <c r="E729" s="440">
        <f>100/100</f>
        <v>1</v>
      </c>
      <c r="F729" s="440">
        <f>100/100</f>
        <v>1</v>
      </c>
      <c r="G729" s="441">
        <f>100/100</f>
        <v>1</v>
      </c>
    </row>
    <row r="730" spans="1:7" ht="9" customHeight="1" x14ac:dyDescent="0.3">
      <c r="A730" s="437"/>
      <c r="B730" s="438"/>
      <c r="C730" s="439" t="s">
        <v>447</v>
      </c>
      <c r="D730" s="440">
        <f>12.5/100*50/35</f>
        <v>0.17857142857142858</v>
      </c>
      <c r="E730" s="440">
        <f>12.5/100*50/35</f>
        <v>0.17857142857142858</v>
      </c>
      <c r="F730" s="440">
        <f>12.5/100*50/35</f>
        <v>0.17857142857142858</v>
      </c>
      <c r="G730" s="441">
        <f>12.5/100*50/35</f>
        <v>0.17857142857142858</v>
      </c>
    </row>
    <row r="731" spans="1:7" ht="9" customHeight="1" x14ac:dyDescent="0.3">
      <c r="A731" s="437"/>
      <c r="B731" s="438"/>
      <c r="C731" s="439" t="s">
        <v>57</v>
      </c>
      <c r="D731" s="440">
        <f>575/100</f>
        <v>5.75</v>
      </c>
      <c r="E731" s="440">
        <f>575/100</f>
        <v>5.75</v>
      </c>
      <c r="F731" s="440">
        <f>575/100</f>
        <v>5.75</v>
      </c>
      <c r="G731" s="441">
        <f>575/100</f>
        <v>5.75</v>
      </c>
    </row>
    <row r="732" spans="1:7" ht="9" customHeight="1" x14ac:dyDescent="0.3">
      <c r="A732" s="437"/>
      <c r="B732" s="438"/>
      <c r="C732" s="439" t="s">
        <v>160</v>
      </c>
      <c r="D732" s="473">
        <f>2.5/100</f>
        <v>2.5000000000000001E-2</v>
      </c>
      <c r="E732" s="473">
        <f>2.5/100</f>
        <v>2.5000000000000001E-2</v>
      </c>
      <c r="F732" s="473">
        <f>2.5/100</f>
        <v>2.5000000000000001E-2</v>
      </c>
      <c r="G732" s="474">
        <f>2.5/100</f>
        <v>2.5000000000000001E-2</v>
      </c>
    </row>
    <row r="733" spans="1:7" ht="9" customHeight="1" x14ac:dyDescent="0.3">
      <c r="A733" s="437"/>
      <c r="B733" s="438"/>
      <c r="C733" s="439" t="s">
        <v>158</v>
      </c>
      <c r="D733" s="440">
        <f>16.9/100</f>
        <v>0.16899999999999998</v>
      </c>
      <c r="E733" s="440">
        <f>16.9/100</f>
        <v>0.16899999999999998</v>
      </c>
      <c r="F733" s="440">
        <f>16.9/100</f>
        <v>0.16899999999999998</v>
      </c>
      <c r="G733" s="441">
        <f>16.9/100</f>
        <v>0.16899999999999998</v>
      </c>
    </row>
    <row r="734" spans="1:7" ht="9" customHeight="1" x14ac:dyDescent="0.3">
      <c r="A734" s="437"/>
      <c r="B734" s="438"/>
      <c r="C734" s="439" t="s">
        <v>154</v>
      </c>
      <c r="D734" s="473">
        <f>427.5/100</f>
        <v>4.2750000000000004</v>
      </c>
      <c r="E734" s="473">
        <f>427.5/100</f>
        <v>4.2750000000000004</v>
      </c>
      <c r="F734" s="473">
        <f>427.5/100</f>
        <v>4.2750000000000004</v>
      </c>
      <c r="G734" s="474">
        <f>427.5/100</f>
        <v>4.2750000000000004</v>
      </c>
    </row>
    <row r="735" spans="1:7" ht="9" customHeight="1" x14ac:dyDescent="0.3">
      <c r="A735" s="437"/>
      <c r="B735" s="438"/>
      <c r="C735" s="439" t="s">
        <v>56</v>
      </c>
      <c r="D735" s="440">
        <f>1500/100</f>
        <v>15</v>
      </c>
      <c r="E735" s="440">
        <f>1500/100</f>
        <v>15</v>
      </c>
      <c r="F735" s="440">
        <f>1500/100</f>
        <v>15</v>
      </c>
      <c r="G735" s="441">
        <f>1500/100</f>
        <v>15</v>
      </c>
    </row>
    <row r="736" spans="1:7" ht="9" customHeight="1" x14ac:dyDescent="0.3">
      <c r="A736" s="437"/>
      <c r="B736" s="438"/>
      <c r="C736" s="439" t="s">
        <v>58</v>
      </c>
      <c r="D736" s="440">
        <f>47.5/100</f>
        <v>0.47499999999999998</v>
      </c>
      <c r="E736" s="440">
        <f>47.5/100</f>
        <v>0.47499999999999998</v>
      </c>
      <c r="F736" s="440">
        <f>47.5/100</f>
        <v>0.47499999999999998</v>
      </c>
      <c r="G736" s="441">
        <f>47.5/100</f>
        <v>0.47499999999999998</v>
      </c>
    </row>
    <row r="737" spans="1:7" ht="9" customHeight="1" x14ac:dyDescent="0.3">
      <c r="A737" s="437">
        <v>1</v>
      </c>
      <c r="B737" s="438" t="s">
        <v>18</v>
      </c>
      <c r="C737" s="439" t="s">
        <v>157</v>
      </c>
      <c r="D737" s="440">
        <v>17</v>
      </c>
      <c r="E737" s="440">
        <v>17</v>
      </c>
      <c r="F737" s="440">
        <v>21</v>
      </c>
      <c r="G737" s="441">
        <v>21</v>
      </c>
    </row>
    <row r="738" spans="1:7" ht="9" customHeight="1" thickBot="1" x14ac:dyDescent="0.35">
      <c r="A738" s="475">
        <v>400</v>
      </c>
      <c r="B738" s="446" t="s">
        <v>105</v>
      </c>
      <c r="C738" s="476" t="s">
        <v>53</v>
      </c>
      <c r="D738" s="477">
        <v>158</v>
      </c>
      <c r="E738" s="477">
        <v>150</v>
      </c>
      <c r="F738" s="477">
        <v>189</v>
      </c>
      <c r="G738" s="478">
        <v>180</v>
      </c>
    </row>
    <row r="739" spans="1:7" ht="14" x14ac:dyDescent="0.3">
      <c r="A739" s="479"/>
      <c r="B739" s="479"/>
      <c r="C739" s="479"/>
      <c r="D739" s="479"/>
      <c r="E739" s="479"/>
      <c r="F739" s="479"/>
      <c r="G739" s="479"/>
    </row>
  </sheetData>
  <mergeCells count="31">
    <mergeCell ref="B646:B647"/>
    <mergeCell ref="B580:B581"/>
    <mergeCell ref="C646:C647"/>
    <mergeCell ref="D580:E580"/>
    <mergeCell ref="D346:E346"/>
    <mergeCell ref="F422:G422"/>
    <mergeCell ref="A257:A261"/>
    <mergeCell ref="B509:B510"/>
    <mergeCell ref="B422:B423"/>
    <mergeCell ref="D422:E422"/>
    <mergeCell ref="F580:G580"/>
    <mergeCell ref="D646:E646"/>
    <mergeCell ref="F646:G646"/>
    <mergeCell ref="D509:E509"/>
    <mergeCell ref="F509:G509"/>
    <mergeCell ref="F346:G346"/>
    <mergeCell ref="B156:B157"/>
    <mergeCell ref="D269:E269"/>
    <mergeCell ref="F269:G269"/>
    <mergeCell ref="B346:B347"/>
    <mergeCell ref="F156:G156"/>
    <mergeCell ref="B1:B2"/>
    <mergeCell ref="D1:E1"/>
    <mergeCell ref="F1:G1"/>
    <mergeCell ref="B216:B217"/>
    <mergeCell ref="D216:E216"/>
    <mergeCell ref="F216:G216"/>
    <mergeCell ref="D156:E156"/>
    <mergeCell ref="B75:B76"/>
    <mergeCell ref="D75:E75"/>
    <mergeCell ref="F75:G75"/>
  </mergeCells>
  <phoneticPr fontId="0" type="noConversion"/>
  <pageMargins left="0.75" right="0.15" top="0.15" bottom="0.14000000000000001" header="0.15" footer="0.140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2-3;3-7</vt:lpstr>
      <vt:lpstr>н факт 1-3</vt:lpstr>
      <vt:lpstr>н факт3-7</vt:lpstr>
      <vt:lpstr>перспективка</vt:lpstr>
      <vt:lpstr>перерасчет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1</cp:lastModifiedBy>
  <cp:lastPrinted>2022-06-16T03:37:13Z</cp:lastPrinted>
  <dcterms:created xsi:type="dcterms:W3CDTF">1996-10-08T23:32:33Z</dcterms:created>
  <dcterms:modified xsi:type="dcterms:W3CDTF">2022-07-22T02:01:44Z</dcterms:modified>
</cp:coreProperties>
</file>