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7925C2B-2082-4101-BC7D-DCAB1657D1F1}" xr6:coauthVersionLast="47" xr6:coauthVersionMax="47" xr10:uidLastSave="{00000000-0000-0000-0000-000000000000}"/>
  <bookViews>
    <workbookView xWindow="-110" yWindow="-110" windowWidth="19420" windowHeight="10560" activeTab="5" xr2:uid="{00000000-000D-0000-FFFF-FFFF00000000}"/>
  </bookViews>
  <sheets>
    <sheet name="2-3;3-7" sheetId="4" r:id="rId1"/>
    <sheet name="н факт 1-3" sheetId="6" r:id="rId2"/>
    <sheet name="н факт3-7" sheetId="7" r:id="rId3"/>
    <sheet name="20 дней (2)" sheetId="10" r:id="rId4"/>
    <sheet name="2я 10 дн. перспективка" sheetId="9" r:id="rId5"/>
    <sheet name="расчет вложения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75" i="3" l="1"/>
  <c r="G537" i="3"/>
  <c r="G536" i="3"/>
  <c r="G535" i="3"/>
  <c r="G534" i="3"/>
  <c r="G533" i="3"/>
  <c r="F533" i="3"/>
  <c r="G532" i="3"/>
  <c r="G531" i="3"/>
  <c r="F531" i="3"/>
  <c r="G530" i="3"/>
  <c r="F537" i="3"/>
  <c r="F536" i="3"/>
  <c r="F535" i="3"/>
  <c r="F534" i="3"/>
  <c r="E537" i="3"/>
  <c r="E536" i="3"/>
  <c r="E535" i="3"/>
  <c r="E534" i="3"/>
  <c r="E533" i="3"/>
  <c r="E532" i="3"/>
  <c r="E531" i="3"/>
  <c r="D531" i="3"/>
  <c r="E530" i="3"/>
  <c r="D537" i="3"/>
  <c r="D536" i="3"/>
  <c r="D535" i="3"/>
  <c r="D534" i="3"/>
  <c r="G474" i="3"/>
  <c r="G473" i="3"/>
  <c r="G472" i="3"/>
  <c r="G471" i="3"/>
  <c r="G470" i="3"/>
  <c r="F470" i="3"/>
  <c r="G469" i="3"/>
  <c r="G468" i="3"/>
  <c r="F468" i="3"/>
  <c r="G467" i="3"/>
  <c r="F474" i="3"/>
  <c r="F473" i="3"/>
  <c r="F472" i="3"/>
  <c r="F471" i="3"/>
  <c r="E474" i="3"/>
  <c r="E472" i="3"/>
  <c r="E471" i="3"/>
  <c r="E470" i="3"/>
  <c r="E469" i="3"/>
  <c r="D469" i="3"/>
  <c r="E468" i="3"/>
  <c r="E467" i="3"/>
  <c r="D467" i="3"/>
  <c r="D474" i="3"/>
  <c r="D472" i="3"/>
  <c r="D471" i="3"/>
  <c r="G410" i="3"/>
  <c r="J21" i="7"/>
  <c r="G409" i="3"/>
  <c r="G408" i="3"/>
  <c r="G407" i="3"/>
  <c r="G405" i="3"/>
  <c r="G404" i="3"/>
  <c r="G403" i="3"/>
  <c r="F403" i="3"/>
  <c r="G402" i="3"/>
  <c r="G401" i="3"/>
  <c r="F401" i="3"/>
  <c r="G400" i="3"/>
  <c r="F410" i="3"/>
  <c r="F409" i="3"/>
  <c r="F408" i="3"/>
  <c r="F407" i="3"/>
  <c r="F405" i="3"/>
  <c r="E410" i="3"/>
  <c r="E408" i="3"/>
  <c r="E407" i="3"/>
  <c r="E405" i="3"/>
  <c r="E404" i="3"/>
  <c r="E403" i="3"/>
  <c r="D403" i="3" s="1"/>
  <c r="E402" i="3"/>
  <c r="E401" i="3"/>
  <c r="D401" i="3"/>
  <c r="D410" i="3"/>
  <c r="D408" i="3"/>
  <c r="D407" i="3"/>
  <c r="D405" i="3"/>
  <c r="G395" i="3"/>
  <c r="G313" i="3"/>
  <c r="G334" i="3"/>
  <c r="G333" i="3"/>
  <c r="G332" i="3"/>
  <c r="G331" i="3"/>
  <c r="G330" i="3"/>
  <c r="G329" i="3"/>
  <c r="G328" i="3"/>
  <c r="F328" i="3"/>
  <c r="G327" i="3"/>
  <c r="G326" i="3"/>
  <c r="F326" i="3"/>
  <c r="G325" i="3"/>
  <c r="F334" i="3"/>
  <c r="F333" i="3"/>
  <c r="F332" i="3"/>
  <c r="F331" i="3"/>
  <c r="F330" i="3"/>
  <c r="F329" i="3"/>
  <c r="E334" i="3"/>
  <c r="E333" i="3"/>
  <c r="E332" i="3"/>
  <c r="E331" i="3"/>
  <c r="E329" i="3"/>
  <c r="E328" i="3"/>
  <c r="D328" i="3" s="1"/>
  <c r="E327" i="3"/>
  <c r="D327" i="3"/>
  <c r="E326" i="3"/>
  <c r="E325" i="3"/>
  <c r="D325" i="3"/>
  <c r="D334" i="3"/>
  <c r="D333" i="3"/>
  <c r="D332" i="3"/>
  <c r="D331" i="3"/>
  <c r="D329" i="3"/>
  <c r="G205" i="3"/>
  <c r="F205" i="3"/>
  <c r="G190" i="3"/>
  <c r="G189" i="3"/>
  <c r="F189" i="3" s="1"/>
  <c r="G188" i="3"/>
  <c r="F188" i="3"/>
  <c r="G187" i="3"/>
  <c r="F187" i="3" s="1"/>
  <c r="G186" i="3"/>
  <c r="F186" i="3"/>
  <c r="G185" i="3"/>
  <c r="F185" i="3"/>
  <c r="G184" i="3"/>
  <c r="G183" i="3"/>
  <c r="G182" i="3"/>
  <c r="G181" i="3"/>
  <c r="G180" i="3"/>
  <c r="F190" i="3"/>
  <c r="F184" i="3"/>
  <c r="F183" i="3"/>
  <c r="F182" i="3"/>
  <c r="F181" i="3"/>
  <c r="F180" i="3"/>
  <c r="E189" i="3"/>
  <c r="D189" i="3"/>
  <c r="E188" i="3"/>
  <c r="D188" i="3" s="1"/>
  <c r="E187" i="3"/>
  <c r="D187" i="3" s="1"/>
  <c r="E186" i="3"/>
  <c r="E185" i="3"/>
  <c r="D185" i="3"/>
  <c r="E184" i="3"/>
  <c r="E183" i="3"/>
  <c r="E182" i="3"/>
  <c r="E181" i="3"/>
  <c r="E180" i="3"/>
  <c r="D184" i="3"/>
  <c r="D183" i="3"/>
  <c r="D182" i="3"/>
  <c r="D181" i="3"/>
  <c r="D180" i="3"/>
  <c r="G96" i="3"/>
  <c r="G95" i="3"/>
  <c r="G94" i="3"/>
  <c r="G93" i="3"/>
  <c r="G92" i="3"/>
  <c r="F92" i="3" s="1"/>
  <c r="G91" i="3"/>
  <c r="F91" i="3"/>
  <c r="G90" i="3"/>
  <c r="F90" i="3"/>
  <c r="G89" i="3"/>
  <c r="G88" i="3"/>
  <c r="F96" i="3"/>
  <c r="F95" i="3"/>
  <c r="F94" i="3"/>
  <c r="F93" i="3"/>
  <c r="F88" i="3"/>
  <c r="D96" i="3"/>
  <c r="D95" i="3"/>
  <c r="D94" i="3"/>
  <c r="D93" i="3"/>
  <c r="E96" i="3"/>
  <c r="E95" i="3"/>
  <c r="E94" i="3"/>
  <c r="E93" i="3"/>
  <c r="E92" i="3"/>
  <c r="D92" i="3" s="1"/>
  <c r="E91" i="3"/>
  <c r="D91" i="3" s="1"/>
  <c r="E90" i="3"/>
  <c r="E89" i="3"/>
  <c r="D89" i="3"/>
  <c r="E88" i="3"/>
  <c r="D88" i="3"/>
  <c r="F22" i="3"/>
  <c r="G22" i="3"/>
  <c r="E22" i="3"/>
  <c r="D22" i="3"/>
  <c r="F27" i="3"/>
  <c r="F28" i="3"/>
  <c r="D27" i="3"/>
  <c r="D28" i="3"/>
  <c r="G28" i="3"/>
  <c r="G27" i="3"/>
  <c r="G26" i="3"/>
  <c r="G25" i="3"/>
  <c r="F25" i="3" s="1"/>
  <c r="G24" i="3"/>
  <c r="F24" i="3"/>
  <c r="G23" i="3"/>
  <c r="F23" i="3" s="1"/>
  <c r="E28" i="3"/>
  <c r="E27" i="3"/>
  <c r="E26" i="3"/>
  <c r="D26" i="3"/>
  <c r="E25" i="3"/>
  <c r="D25" i="3" s="1"/>
  <c r="E24" i="3"/>
  <c r="D24" i="3" s="1"/>
  <c r="E23" i="3"/>
  <c r="D23" i="3"/>
  <c r="G708" i="3"/>
  <c r="E708" i="3"/>
  <c r="D708" i="3"/>
  <c r="D706" i="3"/>
  <c r="D707" i="3"/>
  <c r="D685" i="3"/>
  <c r="G674" i="3"/>
  <c r="G673" i="3"/>
  <c r="G672" i="3"/>
  <c r="G671" i="3"/>
  <c r="G670" i="3"/>
  <c r="G458" i="3"/>
  <c r="G353" i="3"/>
  <c r="F353" i="3"/>
  <c r="F325" i="3"/>
  <c r="F260" i="3"/>
  <c r="F259" i="3"/>
  <c r="F258" i="3"/>
  <c r="F257" i="3"/>
  <c r="D260" i="3"/>
  <c r="D259" i="3"/>
  <c r="D258" i="3"/>
  <c r="D257" i="3"/>
  <c r="G202" i="3"/>
  <c r="G201" i="3"/>
  <c r="G200" i="3"/>
  <c r="G199" i="3"/>
  <c r="F200" i="3"/>
  <c r="E206" i="3"/>
  <c r="D179" i="3"/>
  <c r="D178" i="3"/>
  <c r="D177" i="3"/>
  <c r="D44" i="3"/>
  <c r="D43" i="3"/>
  <c r="G20" i="3"/>
  <c r="E706" i="3"/>
  <c r="E707" i="3"/>
  <c r="E705" i="3"/>
  <c r="D705" i="3"/>
  <c r="E704" i="3"/>
  <c r="N14" i="6"/>
  <c r="E703" i="3"/>
  <c r="D703" i="3"/>
  <c r="E702" i="3"/>
  <c r="D702" i="3"/>
  <c r="F708" i="3"/>
  <c r="F706" i="3"/>
  <c r="F707" i="3"/>
  <c r="G706" i="3"/>
  <c r="G707" i="3" s="1"/>
  <c r="G705" i="3"/>
  <c r="G704" i="3"/>
  <c r="G703" i="3"/>
  <c r="F703" i="3"/>
  <c r="G702" i="3"/>
  <c r="F702" i="3" s="1"/>
  <c r="F685" i="3"/>
  <c r="F684" i="3"/>
  <c r="F683" i="3"/>
  <c r="F682" i="3"/>
  <c r="F681" i="3"/>
  <c r="F680" i="3"/>
  <c r="F679" i="3"/>
  <c r="G685" i="3"/>
  <c r="G684" i="3"/>
  <c r="G683" i="3"/>
  <c r="N13" i="7"/>
  <c r="G682" i="3"/>
  <c r="G681" i="3"/>
  <c r="G680" i="3"/>
  <c r="G679" i="3"/>
  <c r="G678" i="3"/>
  <c r="F678" i="3"/>
  <c r="G677" i="3"/>
  <c r="F677" i="3"/>
  <c r="G676" i="3"/>
  <c r="F676" i="3"/>
  <c r="G675" i="3"/>
  <c r="D683" i="3"/>
  <c r="D682" i="3"/>
  <c r="D681" i="3"/>
  <c r="D680" i="3"/>
  <c r="D679" i="3"/>
  <c r="E685" i="3"/>
  <c r="E683" i="3"/>
  <c r="E682" i="3"/>
  <c r="E681" i="3"/>
  <c r="E680" i="3"/>
  <c r="E679" i="3"/>
  <c r="E678" i="3"/>
  <c r="D678" i="3"/>
  <c r="E677" i="3"/>
  <c r="D677" i="3"/>
  <c r="E676" i="3"/>
  <c r="D675" i="3"/>
  <c r="F674" i="3"/>
  <c r="F673" i="3"/>
  <c r="F672" i="3"/>
  <c r="F671" i="3"/>
  <c r="F670" i="3"/>
  <c r="E674" i="3"/>
  <c r="E673" i="3"/>
  <c r="E672" i="3"/>
  <c r="E671" i="3"/>
  <c r="E670" i="3"/>
  <c r="D674" i="3"/>
  <c r="D673" i="3"/>
  <c r="D672" i="3"/>
  <c r="D671" i="3"/>
  <c r="D670" i="3"/>
  <c r="G606" i="3"/>
  <c r="G600" i="3"/>
  <c r="G604" i="3"/>
  <c r="E606" i="3"/>
  <c r="E600" i="3"/>
  <c r="D605" i="3" s="1"/>
  <c r="G610" i="3"/>
  <c r="G609" i="3"/>
  <c r="G608" i="3"/>
  <c r="G607" i="3"/>
  <c r="F610" i="3"/>
  <c r="F609" i="3"/>
  <c r="F608" i="3"/>
  <c r="F607" i="3"/>
  <c r="E610" i="3"/>
  <c r="E609" i="3"/>
  <c r="E608" i="3"/>
  <c r="E607" i="3"/>
  <c r="D610" i="3"/>
  <c r="D609" i="3"/>
  <c r="D608" i="3"/>
  <c r="D607" i="3"/>
  <c r="G599" i="3"/>
  <c r="G598" i="3"/>
  <c r="M21" i="7"/>
  <c r="G597" i="3"/>
  <c r="F599" i="3"/>
  <c r="F598" i="3"/>
  <c r="F597" i="3"/>
  <c r="E599" i="3"/>
  <c r="E598" i="3"/>
  <c r="E597" i="3"/>
  <c r="D599" i="3"/>
  <c r="D598" i="3"/>
  <c r="D597" i="3"/>
  <c r="E547" i="3"/>
  <c r="D547" i="3"/>
  <c r="L10" i="6" s="1"/>
  <c r="E542" i="3"/>
  <c r="D542" i="3"/>
  <c r="E541" i="3"/>
  <c r="D541" i="3" s="1"/>
  <c r="E540" i="3"/>
  <c r="D540" i="3" s="1"/>
  <c r="F532" i="3"/>
  <c r="D533" i="3"/>
  <c r="G529" i="3"/>
  <c r="G528" i="3"/>
  <c r="G527" i="3"/>
  <c r="F529" i="3"/>
  <c r="F528" i="3"/>
  <c r="F527" i="3"/>
  <c r="E529" i="3"/>
  <c r="L28" i="6" s="1"/>
  <c r="O28" i="6" s="1"/>
  <c r="P28" i="6" s="1"/>
  <c r="E528" i="3"/>
  <c r="E527" i="3"/>
  <c r="D529" i="3"/>
  <c r="D528" i="3"/>
  <c r="D527" i="3"/>
  <c r="G520" i="3"/>
  <c r="G517" i="3"/>
  <c r="L13" i="7" s="1"/>
  <c r="G516" i="3"/>
  <c r="G514" i="3"/>
  <c r="L25" i="7"/>
  <c r="F520" i="3"/>
  <c r="F517" i="3"/>
  <c r="F516" i="3"/>
  <c r="F514" i="3"/>
  <c r="F515" i="3"/>
  <c r="E514" i="3"/>
  <c r="E515" i="3" s="1"/>
  <c r="E520" i="3"/>
  <c r="E517" i="3"/>
  <c r="L13" i="6"/>
  <c r="E516" i="3"/>
  <c r="D520" i="3"/>
  <c r="D517" i="3"/>
  <c r="D516" i="3"/>
  <c r="D514" i="3"/>
  <c r="F469" i="3"/>
  <c r="F467" i="3"/>
  <c r="D468" i="3"/>
  <c r="G466" i="3"/>
  <c r="G465" i="3"/>
  <c r="G464" i="3"/>
  <c r="G463" i="3"/>
  <c r="F463" i="3"/>
  <c r="G462" i="3"/>
  <c r="F462" i="3" s="1"/>
  <c r="G461" i="3"/>
  <c r="F461" i="3" s="1"/>
  <c r="G460" i="3"/>
  <c r="G459" i="3"/>
  <c r="F466" i="3"/>
  <c r="F465" i="3"/>
  <c r="F464" i="3"/>
  <c r="F460" i="3"/>
  <c r="F459" i="3"/>
  <c r="D464" i="3"/>
  <c r="D466" i="3"/>
  <c r="D465" i="3"/>
  <c r="D460" i="3"/>
  <c r="D459" i="3"/>
  <c r="E466" i="3"/>
  <c r="E465" i="3"/>
  <c r="E464" i="3"/>
  <c r="E463" i="3"/>
  <c r="D463" i="3"/>
  <c r="E462" i="3"/>
  <c r="D462" i="3"/>
  <c r="E461" i="3"/>
  <c r="D461" i="3"/>
  <c r="E460" i="3"/>
  <c r="E459" i="3"/>
  <c r="E458" i="3"/>
  <c r="F435" i="3"/>
  <c r="F404" i="3"/>
  <c r="F402" i="3"/>
  <c r="D402" i="3"/>
  <c r="F400" i="3"/>
  <c r="E400" i="3"/>
  <c r="D400" i="3"/>
  <c r="E398" i="3"/>
  <c r="E397" i="3"/>
  <c r="D398" i="3"/>
  <c r="D397" i="3"/>
  <c r="F396" i="3"/>
  <c r="G396" i="3"/>
  <c r="F395" i="3"/>
  <c r="G387" i="3"/>
  <c r="G386" i="3"/>
  <c r="G385" i="3"/>
  <c r="G384" i="3"/>
  <c r="G383" i="3"/>
  <c r="J25" i="7"/>
  <c r="F387" i="3"/>
  <c r="F386" i="3"/>
  <c r="F385" i="3"/>
  <c r="F384" i="3"/>
  <c r="F383" i="3"/>
  <c r="E387" i="3"/>
  <c r="E386" i="3"/>
  <c r="E385" i="3"/>
  <c r="E384" i="3"/>
  <c r="E383" i="3"/>
  <c r="D387" i="3"/>
  <c r="D386" i="3"/>
  <c r="D385" i="3"/>
  <c r="D384" i="3"/>
  <c r="D383" i="3"/>
  <c r="F351" i="3"/>
  <c r="F352" i="3"/>
  <c r="G351" i="3"/>
  <c r="G352" i="3"/>
  <c r="G350" i="3"/>
  <c r="F350" i="3"/>
  <c r="G349" i="3"/>
  <c r="F349" i="3"/>
  <c r="G348" i="3"/>
  <c r="F348" i="3"/>
  <c r="D326" i="3"/>
  <c r="G324" i="3"/>
  <c r="G323" i="3"/>
  <c r="F324" i="3"/>
  <c r="F323" i="3"/>
  <c r="E324" i="3"/>
  <c r="I21" i="6" s="1"/>
  <c r="E323" i="3"/>
  <c r="D324" i="3"/>
  <c r="D323" i="3"/>
  <c r="F284" i="3"/>
  <c r="F283" i="3"/>
  <c r="F282" i="3"/>
  <c r="F281" i="3"/>
  <c r="F280" i="3"/>
  <c r="F279" i="3"/>
  <c r="F278" i="3"/>
  <c r="F277" i="3"/>
  <c r="G284" i="3"/>
  <c r="G283" i="3"/>
  <c r="G282" i="3"/>
  <c r="G281" i="3"/>
  <c r="G280" i="3"/>
  <c r="G279" i="3"/>
  <c r="G278" i="3"/>
  <c r="G277" i="3"/>
  <c r="G276" i="3"/>
  <c r="F276" i="3"/>
  <c r="G275" i="3"/>
  <c r="F275" i="3"/>
  <c r="G274" i="3"/>
  <c r="F274" i="3"/>
  <c r="G273" i="3"/>
  <c r="F273" i="3"/>
  <c r="G260" i="3"/>
  <c r="G259" i="3"/>
  <c r="G258" i="3"/>
  <c r="G257" i="3"/>
  <c r="G256" i="3"/>
  <c r="F256" i="3"/>
  <c r="G255" i="3"/>
  <c r="F255" i="3"/>
  <c r="G254" i="3"/>
  <c r="F254" i="3"/>
  <c r="G253" i="3"/>
  <c r="F253" i="3"/>
  <c r="E260" i="3"/>
  <c r="E259" i="3"/>
  <c r="E258" i="3"/>
  <c r="E257" i="3"/>
  <c r="E256" i="3"/>
  <c r="D256" i="3"/>
  <c r="E255" i="3"/>
  <c r="D255" i="3"/>
  <c r="E254" i="3"/>
  <c r="D254" i="3"/>
  <c r="E253" i="3"/>
  <c r="D253" i="3"/>
  <c r="G252" i="3"/>
  <c r="G251" i="3"/>
  <c r="G250" i="3"/>
  <c r="G249" i="3"/>
  <c r="G248" i="3"/>
  <c r="F252" i="3"/>
  <c r="F251" i="3"/>
  <c r="F250" i="3"/>
  <c r="F249" i="3"/>
  <c r="F248" i="3"/>
  <c r="E252" i="3"/>
  <c r="E251" i="3"/>
  <c r="E249" i="3"/>
  <c r="E248" i="3"/>
  <c r="D252" i="3"/>
  <c r="D251" i="3"/>
  <c r="D249" i="3"/>
  <c r="D248" i="3"/>
  <c r="G238" i="3"/>
  <c r="H13" i="7"/>
  <c r="G234" i="3"/>
  <c r="F238" i="3"/>
  <c r="F234" i="3"/>
  <c r="E238" i="3"/>
  <c r="H13" i="6"/>
  <c r="E234" i="3"/>
  <c r="E235" i="3" s="1"/>
  <c r="D238" i="3"/>
  <c r="D234" i="3"/>
  <c r="G206" i="3"/>
  <c r="F206" i="3"/>
  <c r="G203" i="3"/>
  <c r="F203" i="3"/>
  <c r="F202" i="3"/>
  <c r="F201" i="3"/>
  <c r="F199" i="3"/>
  <c r="E203" i="3"/>
  <c r="E202" i="3"/>
  <c r="E201" i="3"/>
  <c r="E200" i="3"/>
  <c r="E199" i="3"/>
  <c r="D206" i="3"/>
  <c r="D203" i="3"/>
  <c r="D202" i="3"/>
  <c r="D201" i="3"/>
  <c r="D200" i="3"/>
  <c r="D199" i="3"/>
  <c r="G179" i="3"/>
  <c r="G178" i="3"/>
  <c r="G177" i="3"/>
  <c r="G176" i="3"/>
  <c r="F176" i="3" s="1"/>
  <c r="G175" i="3"/>
  <c r="F175" i="3"/>
  <c r="G174" i="3"/>
  <c r="F174" i="3" s="1"/>
  <c r="G173" i="3"/>
  <c r="F173" i="3" s="1"/>
  <c r="G172" i="3"/>
  <c r="F172" i="3"/>
  <c r="G171" i="3"/>
  <c r="F179" i="3"/>
  <c r="F178" i="3"/>
  <c r="F177" i="3"/>
  <c r="F171" i="3"/>
  <c r="D171" i="3"/>
  <c r="E179" i="3"/>
  <c r="E178" i="3"/>
  <c r="E177" i="3"/>
  <c r="E176" i="3"/>
  <c r="D176" i="3"/>
  <c r="E175" i="3"/>
  <c r="D175" i="3"/>
  <c r="E174" i="3"/>
  <c r="D174" i="3"/>
  <c r="E173" i="3"/>
  <c r="D173" i="3"/>
  <c r="E172" i="3"/>
  <c r="E171" i="3"/>
  <c r="G161" i="3"/>
  <c r="G157" i="3"/>
  <c r="G25" i="7" s="1"/>
  <c r="F161" i="3"/>
  <c r="F157" i="3"/>
  <c r="F158" i="3"/>
  <c r="E161" i="3"/>
  <c r="E157" i="3"/>
  <c r="G25" i="6" s="1"/>
  <c r="D161" i="3"/>
  <c r="D157" i="3"/>
  <c r="D162" i="3" s="1"/>
  <c r="D158" i="3"/>
  <c r="E125" i="3"/>
  <c r="D125" i="3"/>
  <c r="F123" i="3"/>
  <c r="D123" i="3"/>
  <c r="D124" i="3"/>
  <c r="G125" i="3"/>
  <c r="F125" i="3"/>
  <c r="G123" i="3"/>
  <c r="F25" i="6"/>
  <c r="G122" i="3"/>
  <c r="F122" i="3"/>
  <c r="G121" i="3"/>
  <c r="G120" i="3"/>
  <c r="F120" i="3" s="1"/>
  <c r="G119" i="3"/>
  <c r="E123" i="3"/>
  <c r="E124" i="3"/>
  <c r="E122" i="3"/>
  <c r="D122" i="3"/>
  <c r="E121" i="3"/>
  <c r="D121" i="3"/>
  <c r="E120" i="3"/>
  <c r="E119" i="3"/>
  <c r="D119" i="3" s="1"/>
  <c r="G87" i="3"/>
  <c r="G86" i="3"/>
  <c r="G85" i="3"/>
  <c r="G84" i="3"/>
  <c r="F21" i="7"/>
  <c r="G83" i="3"/>
  <c r="F87" i="3"/>
  <c r="F85" i="3"/>
  <c r="F84" i="3"/>
  <c r="F83" i="3"/>
  <c r="E87" i="3"/>
  <c r="E85" i="3"/>
  <c r="E84" i="3"/>
  <c r="F21" i="6" s="1"/>
  <c r="O21" i="6" s="1"/>
  <c r="P21" i="6" s="1"/>
  <c r="E83" i="3"/>
  <c r="D83" i="3"/>
  <c r="D87" i="3"/>
  <c r="E86" i="3"/>
  <c r="D85" i="3"/>
  <c r="D84" i="3"/>
  <c r="G42" i="3"/>
  <c r="G41" i="3"/>
  <c r="G40" i="3"/>
  <c r="G39" i="3"/>
  <c r="F42" i="3"/>
  <c r="F41" i="3"/>
  <c r="F40" i="3"/>
  <c r="F39" i="3"/>
  <c r="E42" i="3"/>
  <c r="E41" i="3"/>
  <c r="E40" i="3"/>
  <c r="E39" i="3"/>
  <c r="D42" i="3"/>
  <c r="D41" i="3"/>
  <c r="D40" i="3"/>
  <c r="D39" i="3"/>
  <c r="F21" i="3"/>
  <c r="E21" i="3"/>
  <c r="D21" i="3"/>
  <c r="G21" i="3"/>
  <c r="F20" i="3"/>
  <c r="G19" i="3"/>
  <c r="F19" i="3"/>
  <c r="E19" i="3"/>
  <c r="D19" i="3"/>
  <c r="G18" i="3"/>
  <c r="F18" i="3"/>
  <c r="E18" i="3"/>
  <c r="D18" i="3"/>
  <c r="G9" i="3"/>
  <c r="F9" i="3"/>
  <c r="F7" i="3"/>
  <c r="G7" i="3"/>
  <c r="E13" i="7" s="1"/>
  <c r="G3" i="3"/>
  <c r="F3" i="3"/>
  <c r="F4" i="3"/>
  <c r="D9" i="3"/>
  <c r="E7" i="3"/>
  <c r="E13" i="6" s="1"/>
  <c r="D7" i="3"/>
  <c r="E3" i="3"/>
  <c r="D3" i="3"/>
  <c r="D4" i="3"/>
  <c r="I27" i="6"/>
  <c r="L20" i="6"/>
  <c r="K20" i="6"/>
  <c r="G584" i="3"/>
  <c r="G435" i="3"/>
  <c r="J35" i="7"/>
  <c r="G729" i="3"/>
  <c r="N29" i="7" s="1"/>
  <c r="J29" i="7"/>
  <c r="E729" i="3"/>
  <c r="N29" i="6"/>
  <c r="E439" i="3"/>
  <c r="J29" i="6"/>
  <c r="E447" i="3"/>
  <c r="E477" i="3"/>
  <c r="E375" i="3"/>
  <c r="I29" i="6"/>
  <c r="F661" i="3"/>
  <c r="F660" i="3"/>
  <c r="F659" i="3"/>
  <c r="J18" i="7"/>
  <c r="J18" i="6"/>
  <c r="E436" i="3"/>
  <c r="E435" i="3"/>
  <c r="J36" i="6"/>
  <c r="E68" i="3"/>
  <c r="F17" i="6"/>
  <c r="F17" i="7"/>
  <c r="D278" i="3"/>
  <c r="D281" i="3"/>
  <c r="D282" i="3"/>
  <c r="D283" i="3"/>
  <c r="G587" i="3"/>
  <c r="F587" i="3"/>
  <c r="F586" i="3"/>
  <c r="G586" i="3"/>
  <c r="F585" i="3"/>
  <c r="G585" i="3"/>
  <c r="F584" i="3"/>
  <c r="G583" i="3"/>
  <c r="F583" i="3"/>
  <c r="G582" i="3"/>
  <c r="F582" i="3"/>
  <c r="F581" i="3"/>
  <c r="G581" i="3"/>
  <c r="M26" i="7" s="1"/>
  <c r="E479" i="3"/>
  <c r="D479" i="3"/>
  <c r="E478" i="3"/>
  <c r="D478" i="3"/>
  <c r="D477" i="3"/>
  <c r="E476" i="3"/>
  <c r="D476" i="3"/>
  <c r="E475" i="3"/>
  <c r="D475" i="3"/>
  <c r="E480" i="3"/>
  <c r="D480" i="3"/>
  <c r="E353" i="3"/>
  <c r="D353" i="3"/>
  <c r="D351" i="3"/>
  <c r="D352" i="3"/>
  <c r="E351" i="3"/>
  <c r="I25" i="6"/>
  <c r="E348" i="3"/>
  <c r="D348" i="3"/>
  <c r="E349" i="3"/>
  <c r="D349" i="3"/>
  <c r="E350" i="3"/>
  <c r="D350" i="3"/>
  <c r="E347" i="3"/>
  <c r="D347" i="3"/>
  <c r="E8" i="4"/>
  <c r="E25" i="4" s="1"/>
  <c r="E9" i="4"/>
  <c r="E12" i="4"/>
  <c r="E14" i="4"/>
  <c r="E15" i="4"/>
  <c r="E16" i="4"/>
  <c r="E17" i="4"/>
  <c r="E18" i="4"/>
  <c r="E19" i="4"/>
  <c r="E20" i="4"/>
  <c r="E22" i="4"/>
  <c r="E24" i="4"/>
  <c r="C25" i="4"/>
  <c r="D25" i="4"/>
  <c r="E70" i="3"/>
  <c r="D70" i="3"/>
  <c r="E67" i="3"/>
  <c r="F29" i="6"/>
  <c r="D67" i="3"/>
  <c r="E75" i="3"/>
  <c r="F75" i="3"/>
  <c r="G75" i="3"/>
  <c r="D75" i="3"/>
  <c r="G117" i="3"/>
  <c r="F117" i="3"/>
  <c r="E117" i="3"/>
  <c r="D117" i="3"/>
  <c r="G116" i="3"/>
  <c r="F116" i="3"/>
  <c r="E116" i="3"/>
  <c r="D116" i="3"/>
  <c r="G115" i="3"/>
  <c r="F115" i="3"/>
  <c r="E115" i="3"/>
  <c r="D115" i="3"/>
  <c r="G114" i="3"/>
  <c r="F114" i="3"/>
  <c r="E114" i="3"/>
  <c r="D114" i="3"/>
  <c r="G113" i="3"/>
  <c r="F113" i="3"/>
  <c r="E113" i="3"/>
  <c r="D113" i="3"/>
  <c r="G112" i="3"/>
  <c r="F112" i="3"/>
  <c r="E112" i="3"/>
  <c r="D112" i="3"/>
  <c r="G111" i="3"/>
  <c r="F111" i="3"/>
  <c r="E111" i="3"/>
  <c r="D111" i="3"/>
  <c r="G110" i="3"/>
  <c r="F110" i="3"/>
  <c r="G109" i="3"/>
  <c r="F109" i="3"/>
  <c r="E109" i="3"/>
  <c r="D109" i="3"/>
  <c r="G108" i="3"/>
  <c r="F108" i="3"/>
  <c r="E108" i="3"/>
  <c r="D108" i="3"/>
  <c r="G107" i="3"/>
  <c r="F118" i="3"/>
  <c r="F107" i="3"/>
  <c r="E107" i="3"/>
  <c r="D118" i="3"/>
  <c r="D107" i="3"/>
  <c r="G151" i="3"/>
  <c r="E151" i="3"/>
  <c r="F151" i="3"/>
  <c r="D151" i="3"/>
  <c r="G150" i="3"/>
  <c r="E150" i="3"/>
  <c r="F150" i="3"/>
  <c r="D150" i="3"/>
  <c r="G149" i="3"/>
  <c r="E149" i="3"/>
  <c r="F149" i="3"/>
  <c r="D149" i="3"/>
  <c r="G144" i="3"/>
  <c r="F144" i="3"/>
  <c r="G148" i="3"/>
  <c r="E148" i="3"/>
  <c r="F148" i="3"/>
  <c r="D148" i="3"/>
  <c r="G147" i="3"/>
  <c r="E147" i="3"/>
  <c r="F147" i="3"/>
  <c r="D147" i="3"/>
  <c r="G146" i="3"/>
  <c r="E146" i="3"/>
  <c r="F146" i="3"/>
  <c r="D146" i="3"/>
  <c r="G143" i="3"/>
  <c r="F143" i="3"/>
  <c r="D143" i="3"/>
  <c r="E143" i="3"/>
  <c r="G142" i="3"/>
  <c r="E142" i="3"/>
  <c r="F142" i="3"/>
  <c r="D142" i="3"/>
  <c r="G141" i="3"/>
  <c r="E141" i="3"/>
  <c r="F141" i="3"/>
  <c r="D141" i="3"/>
  <c r="E438" i="3"/>
  <c r="J21" i="6"/>
  <c r="D438" i="3"/>
  <c r="J10" i="6"/>
  <c r="E440" i="3"/>
  <c r="D440" i="3"/>
  <c r="D439" i="3"/>
  <c r="E437" i="3"/>
  <c r="D437" i="3"/>
  <c r="G450" i="3"/>
  <c r="F450" i="3"/>
  <c r="E450" i="3"/>
  <c r="D450" i="3"/>
  <c r="E449" i="3"/>
  <c r="F449" i="3"/>
  <c r="G449" i="3"/>
  <c r="D449" i="3"/>
  <c r="E448" i="3"/>
  <c r="F448" i="3"/>
  <c r="G448" i="3"/>
  <c r="D448" i="3"/>
  <c r="F447" i="3"/>
  <c r="G447" i="3"/>
  <c r="D447" i="3"/>
  <c r="G483" i="3"/>
  <c r="F483" i="3"/>
  <c r="E483" i="3"/>
  <c r="D483" i="3"/>
  <c r="G482" i="3"/>
  <c r="F482" i="3"/>
  <c r="D482" i="3"/>
  <c r="E482" i="3"/>
  <c r="G481" i="3"/>
  <c r="K13" i="7"/>
  <c r="F481" i="3"/>
  <c r="E481" i="3"/>
  <c r="K13" i="6" s="1"/>
  <c r="D481" i="3"/>
  <c r="D661" i="3"/>
  <c r="D660" i="3"/>
  <c r="D659" i="3"/>
  <c r="E723" i="3"/>
  <c r="N13" i="6" s="1"/>
  <c r="D723" i="3"/>
  <c r="E721" i="3"/>
  <c r="D721" i="3"/>
  <c r="E720" i="3"/>
  <c r="D720" i="3"/>
  <c r="E719" i="3"/>
  <c r="D719" i="3"/>
  <c r="F719" i="3"/>
  <c r="F717" i="3"/>
  <c r="G717" i="3"/>
  <c r="G716" i="3"/>
  <c r="F716" i="3"/>
  <c r="E717" i="3"/>
  <c r="D717" i="3"/>
  <c r="E716" i="3"/>
  <c r="D716" i="3"/>
  <c r="E32" i="3"/>
  <c r="E20" i="6" s="1"/>
  <c r="G29" i="3"/>
  <c r="G32" i="3"/>
  <c r="E20" i="7"/>
  <c r="N18" i="6"/>
  <c r="N18" i="7"/>
  <c r="L17" i="6"/>
  <c r="L16" i="6"/>
  <c r="D676" i="3"/>
  <c r="G612" i="3"/>
  <c r="M33" i="7" s="1"/>
  <c r="F612" i="3"/>
  <c r="G611" i="3"/>
  <c r="F611" i="3"/>
  <c r="G551" i="3"/>
  <c r="F551" i="3"/>
  <c r="G552" i="3"/>
  <c r="F552" i="3"/>
  <c r="G553" i="3"/>
  <c r="F553" i="3"/>
  <c r="G550" i="3"/>
  <c r="L14" i="7"/>
  <c r="D532" i="3"/>
  <c r="L33" i="7"/>
  <c r="G476" i="3"/>
  <c r="G475" i="3"/>
  <c r="F475" i="3"/>
  <c r="G479" i="3"/>
  <c r="F479" i="3"/>
  <c r="G478" i="3"/>
  <c r="F478" i="3"/>
  <c r="G477" i="3"/>
  <c r="F477" i="3"/>
  <c r="F476" i="3"/>
  <c r="G480" i="3"/>
  <c r="F480" i="3"/>
  <c r="D470" i="3"/>
  <c r="G414" i="3"/>
  <c r="F414" i="3"/>
  <c r="D404" i="3"/>
  <c r="F327" i="3"/>
  <c r="D186" i="3"/>
  <c r="D90" i="3"/>
  <c r="G97" i="3"/>
  <c r="F33" i="7"/>
  <c r="F97" i="3"/>
  <c r="F89" i="3"/>
  <c r="F30" i="3"/>
  <c r="E30" i="3"/>
  <c r="D30" i="3"/>
  <c r="G30" i="3"/>
  <c r="F29" i="3"/>
  <c r="F34" i="3" s="1"/>
  <c r="G13" i="6"/>
  <c r="G13" i="7"/>
  <c r="D284" i="3"/>
  <c r="D280" i="3"/>
  <c r="D279" i="3"/>
  <c r="D277" i="3"/>
  <c r="E284" i="3"/>
  <c r="E283" i="3"/>
  <c r="E282" i="3"/>
  <c r="E281" i="3"/>
  <c r="E280" i="3"/>
  <c r="E279" i="3"/>
  <c r="E278" i="3"/>
  <c r="E277" i="3"/>
  <c r="E274" i="3"/>
  <c r="D274" i="3"/>
  <c r="E275" i="3"/>
  <c r="D275" i="3"/>
  <c r="E276" i="3"/>
  <c r="D276" i="3"/>
  <c r="E273" i="3"/>
  <c r="D273" i="3"/>
  <c r="E625" i="3"/>
  <c r="E9" i="6"/>
  <c r="F9" i="6"/>
  <c r="G9" i="6"/>
  <c r="H9" i="6"/>
  <c r="I9" i="6"/>
  <c r="J9" i="6"/>
  <c r="K9" i="6"/>
  <c r="L9" i="6"/>
  <c r="M9" i="6"/>
  <c r="N9" i="6"/>
  <c r="E10" i="6"/>
  <c r="E71" i="3"/>
  <c r="D71" i="3"/>
  <c r="G10" i="6"/>
  <c r="H10" i="6"/>
  <c r="I10" i="6"/>
  <c r="K10" i="6"/>
  <c r="D649" i="3"/>
  <c r="M10" i="6"/>
  <c r="N10" i="6"/>
  <c r="E31" i="3"/>
  <c r="E11" i="6"/>
  <c r="D65" i="3"/>
  <c r="F11" i="6" s="1"/>
  <c r="E216" i="3"/>
  <c r="E218" i="3" s="1"/>
  <c r="E271" i="3"/>
  <c r="E304" i="3"/>
  <c r="E270" i="3"/>
  <c r="I11" i="6"/>
  <c r="E726" i="3"/>
  <c r="E733" i="3"/>
  <c r="E494" i="3"/>
  <c r="E504" i="3"/>
  <c r="L11" i="6"/>
  <c r="E700" i="3"/>
  <c r="N11" i="6"/>
  <c r="E210" i="3"/>
  <c r="G12" i="6"/>
  <c r="E500" i="3"/>
  <c r="K12" i="6"/>
  <c r="G590" i="3"/>
  <c r="M12" i="7"/>
  <c r="N12" i="6"/>
  <c r="F13" i="6"/>
  <c r="M13" i="6"/>
  <c r="E418" i="3"/>
  <c r="D418" i="3" s="1"/>
  <c r="M14" i="6"/>
  <c r="E196" i="3"/>
  <c r="E194" i="3"/>
  <c r="E197" i="3"/>
  <c r="E555" i="3"/>
  <c r="L15" i="6" s="1"/>
  <c r="D127" i="3"/>
  <c r="F16" i="6" s="1"/>
  <c r="O16" i="6" s="1"/>
  <c r="P16" i="6" s="1"/>
  <c r="G16" i="6"/>
  <c r="E286" i="3"/>
  <c r="H16" i="6"/>
  <c r="E429" i="3"/>
  <c r="J16" i="6"/>
  <c r="K16" i="6"/>
  <c r="E588" i="3"/>
  <c r="M16" i="6" s="1"/>
  <c r="E710" i="3"/>
  <c r="N16" i="6" s="1"/>
  <c r="E43" i="3"/>
  <c r="E17" i="6" s="1"/>
  <c r="H17" i="6"/>
  <c r="O17" i="6" s="1"/>
  <c r="P17" i="6" s="1"/>
  <c r="I17" i="6"/>
  <c r="E44" i="3"/>
  <c r="E19" i="6" s="1"/>
  <c r="O19" i="6" s="1"/>
  <c r="P19" i="6" s="1"/>
  <c r="E66" i="3"/>
  <c r="E128" i="3"/>
  <c r="E209" i="3"/>
  <c r="E306" i="3"/>
  <c r="E288" i="3"/>
  <c r="I19" i="6"/>
  <c r="E430" i="3"/>
  <c r="E727" i="3"/>
  <c r="E499" i="3"/>
  <c r="E505" i="3"/>
  <c r="E556" i="3"/>
  <c r="L19" i="6" s="1"/>
  <c r="E636" i="3"/>
  <c r="E589" i="3"/>
  <c r="E712" i="3"/>
  <c r="E222" i="3"/>
  <c r="E303" i="3"/>
  <c r="E728" i="3"/>
  <c r="E493" i="3"/>
  <c r="E624" i="3"/>
  <c r="E699" i="3"/>
  <c r="E577" i="3"/>
  <c r="L21" i="6"/>
  <c r="E23" i="6"/>
  <c r="E193" i="3"/>
  <c r="G23" i="6" s="1"/>
  <c r="O23" i="6" s="1"/>
  <c r="P23" i="6" s="1"/>
  <c r="J23" i="6"/>
  <c r="L23" i="6"/>
  <c r="M23" i="6"/>
  <c r="D99" i="3"/>
  <c r="F24" i="6"/>
  <c r="H24" i="6"/>
  <c r="I24" i="6"/>
  <c r="O24" i="6" s="1"/>
  <c r="E539" i="3"/>
  <c r="L24" i="6"/>
  <c r="M24" i="6"/>
  <c r="N24" i="6"/>
  <c r="E34" i="3"/>
  <c r="E302" i="3"/>
  <c r="E492" i="3"/>
  <c r="K25" i="6"/>
  <c r="M25" i="6"/>
  <c r="E64" i="3"/>
  <c r="F26" i="6" s="1"/>
  <c r="H26" i="6"/>
  <c r="O26" i="6" s="1"/>
  <c r="P26" i="6" s="1"/>
  <c r="E503" i="3"/>
  <c r="K26" i="6"/>
  <c r="M26" i="6"/>
  <c r="E72" i="3"/>
  <c r="E217" i="3"/>
  <c r="G27" i="6"/>
  <c r="O27" i="6" s="1"/>
  <c r="P27" i="6" s="1"/>
  <c r="H27" i="6"/>
  <c r="J27" i="6"/>
  <c r="E623" i="3"/>
  <c r="M27" i="6"/>
  <c r="E698" i="3"/>
  <c r="N27" i="6"/>
  <c r="E28" i="6"/>
  <c r="G28" i="6"/>
  <c r="J28" i="6"/>
  <c r="M28" i="6"/>
  <c r="E33" i="3"/>
  <c r="E29" i="6"/>
  <c r="H29" i="6"/>
  <c r="E546" i="3"/>
  <c r="L29" i="6" s="1"/>
  <c r="O31" i="6"/>
  <c r="E33" i="6"/>
  <c r="E97" i="3"/>
  <c r="F33" i="6" s="1"/>
  <c r="O33" i="6" s="1"/>
  <c r="P33" i="6" s="1"/>
  <c r="G33" i="6"/>
  <c r="I33" i="6"/>
  <c r="J33" i="6"/>
  <c r="K33" i="6"/>
  <c r="L33" i="6"/>
  <c r="E612" i="3"/>
  <c r="M33" i="6"/>
  <c r="E34" i="6"/>
  <c r="I34" i="6"/>
  <c r="J34" i="6"/>
  <c r="E497" i="3"/>
  <c r="K34" i="6" s="1"/>
  <c r="L34" i="6"/>
  <c r="O35" i="6"/>
  <c r="L36" i="6"/>
  <c r="G37" i="6"/>
  <c r="M37" i="6"/>
  <c r="G698" i="3"/>
  <c r="N27" i="7"/>
  <c r="N24" i="7"/>
  <c r="G699" i="3"/>
  <c r="G712" i="3"/>
  <c r="G710" i="3"/>
  <c r="N16" i="7" s="1"/>
  <c r="G700" i="3"/>
  <c r="N11" i="7"/>
  <c r="N10" i="7"/>
  <c r="G711" i="3"/>
  <c r="F711" i="3"/>
  <c r="E711" i="3"/>
  <c r="D711" i="3"/>
  <c r="D712" i="3"/>
  <c r="F712" i="3"/>
  <c r="D713" i="3"/>
  <c r="E713" i="3"/>
  <c r="F713" i="3"/>
  <c r="G713" i="3"/>
  <c r="F710" i="3"/>
  <c r="D710" i="3"/>
  <c r="G701" i="3"/>
  <c r="F701" i="3"/>
  <c r="E701" i="3"/>
  <c r="D701" i="3"/>
  <c r="F700" i="3"/>
  <c r="D700" i="3"/>
  <c r="F699" i="3"/>
  <c r="D699" i="3"/>
  <c r="F698" i="3"/>
  <c r="D698" i="3"/>
  <c r="G697" i="3"/>
  <c r="F697" i="3"/>
  <c r="E697" i="3"/>
  <c r="D697" i="3"/>
  <c r="F690" i="3"/>
  <c r="F689" i="3"/>
  <c r="F688" i="3"/>
  <c r="D690" i="3"/>
  <c r="D689" i="3"/>
  <c r="D688" i="3"/>
  <c r="M36" i="7"/>
  <c r="G603" i="3"/>
  <c r="G623" i="3"/>
  <c r="M27" i="7" s="1"/>
  <c r="M25" i="7"/>
  <c r="M24" i="7"/>
  <c r="M23" i="7"/>
  <c r="G624" i="3"/>
  <c r="G589" i="3"/>
  <c r="G636" i="3"/>
  <c r="G588" i="3"/>
  <c r="M16" i="7"/>
  <c r="M14" i="7"/>
  <c r="M13" i="7"/>
  <c r="G625" i="3"/>
  <c r="F649" i="3"/>
  <c r="M10" i="7" s="1"/>
  <c r="M9" i="7"/>
  <c r="O9" i="7" s="1"/>
  <c r="P9" i="7" s="1"/>
  <c r="G653" i="3"/>
  <c r="F653" i="3"/>
  <c r="E653" i="3"/>
  <c r="D653" i="3"/>
  <c r="F644" i="3"/>
  <c r="D644" i="3"/>
  <c r="F643" i="3"/>
  <c r="D643" i="3"/>
  <c r="F642" i="3"/>
  <c r="D642" i="3"/>
  <c r="F641" i="3"/>
  <c r="D641" i="3"/>
  <c r="F640" i="3"/>
  <c r="D640" i="3"/>
  <c r="G637" i="3"/>
  <c r="E637" i="3"/>
  <c r="D637" i="3"/>
  <c r="F636" i="3"/>
  <c r="D636" i="3"/>
  <c r="G635" i="3"/>
  <c r="M17" i="7"/>
  <c r="F635" i="3"/>
  <c r="E635" i="3"/>
  <c r="M17" i="6"/>
  <c r="D635" i="3"/>
  <c r="G626" i="3"/>
  <c r="F626" i="3"/>
  <c r="E626" i="3"/>
  <c r="D626" i="3"/>
  <c r="F625" i="3"/>
  <c r="D625" i="3"/>
  <c r="F624" i="3"/>
  <c r="D624" i="3"/>
  <c r="F623" i="3"/>
  <c r="D623" i="3"/>
  <c r="G622" i="3"/>
  <c r="F622" i="3"/>
  <c r="E622" i="3"/>
  <c r="D622" i="3"/>
  <c r="F613" i="3"/>
  <c r="D613" i="3"/>
  <c r="D612" i="3"/>
  <c r="E611" i="3"/>
  <c r="D611" i="3"/>
  <c r="G605" i="3"/>
  <c r="G593" i="3"/>
  <c r="F593" i="3"/>
  <c r="E593" i="3"/>
  <c r="D593" i="3"/>
  <c r="G592" i="3"/>
  <c r="F592" i="3"/>
  <c r="E592" i="3"/>
  <c r="D592" i="3"/>
  <c r="G591" i="3"/>
  <c r="F591" i="3"/>
  <c r="E591" i="3"/>
  <c r="D591" i="3"/>
  <c r="F590" i="3"/>
  <c r="E590" i="3"/>
  <c r="D590" i="3"/>
  <c r="F589" i="3"/>
  <c r="D589" i="3"/>
  <c r="F588" i="3"/>
  <c r="D588" i="3"/>
  <c r="D586" i="3"/>
  <c r="L35" i="7"/>
  <c r="O35" i="7" s="1"/>
  <c r="P35" i="7" s="1"/>
  <c r="L34" i="7"/>
  <c r="L29" i="7"/>
  <c r="L24" i="7"/>
  <c r="L23" i="7"/>
  <c r="G577" i="3"/>
  <c r="G556" i="3"/>
  <c r="L19" i="7" s="1"/>
  <c r="L17" i="7"/>
  <c r="G555" i="3"/>
  <c r="L16" i="7"/>
  <c r="L11" i="7"/>
  <c r="F547" i="3"/>
  <c r="L10" i="7" s="1"/>
  <c r="F577" i="3"/>
  <c r="D577" i="3"/>
  <c r="F576" i="3"/>
  <c r="G576" i="3"/>
  <c r="E574" i="3"/>
  <c r="F574" i="3"/>
  <c r="G574" i="3"/>
  <c r="D574" i="3"/>
  <c r="E573" i="3"/>
  <c r="F573" i="3"/>
  <c r="G573" i="3"/>
  <c r="D573" i="3"/>
  <c r="F560" i="3"/>
  <c r="D560" i="3"/>
  <c r="D553" i="3"/>
  <c r="D552" i="3"/>
  <c r="D551" i="3"/>
  <c r="D550" i="3"/>
  <c r="D546" i="3"/>
  <c r="F542" i="3"/>
  <c r="F541" i="3"/>
  <c r="F540" i="3"/>
  <c r="D539" i="3"/>
  <c r="D555" i="3"/>
  <c r="F555" i="3"/>
  <c r="D556" i="3"/>
  <c r="F556" i="3"/>
  <c r="D557" i="3"/>
  <c r="E557" i="3"/>
  <c r="F557" i="3"/>
  <c r="G557" i="3"/>
  <c r="D515" i="3"/>
  <c r="G497" i="3"/>
  <c r="K34" i="7" s="1"/>
  <c r="K33" i="7"/>
  <c r="K27" i="7"/>
  <c r="G503" i="3"/>
  <c r="K26" i="7"/>
  <c r="G492" i="3"/>
  <c r="K25" i="7" s="1"/>
  <c r="G493" i="3"/>
  <c r="G499" i="3"/>
  <c r="K19" i="7" s="1"/>
  <c r="K16" i="7"/>
  <c r="G500" i="3"/>
  <c r="K12" i="7" s="1"/>
  <c r="G494" i="3"/>
  <c r="G504" i="3"/>
  <c r="K10" i="7"/>
  <c r="F507" i="3"/>
  <c r="E507" i="3"/>
  <c r="D507" i="3"/>
  <c r="F505" i="3"/>
  <c r="D505" i="3"/>
  <c r="F504" i="3"/>
  <c r="D504" i="3"/>
  <c r="F503" i="3"/>
  <c r="D503" i="3"/>
  <c r="G498" i="3"/>
  <c r="F498" i="3"/>
  <c r="E498" i="3"/>
  <c r="D498" i="3"/>
  <c r="F500" i="3"/>
  <c r="D500" i="3"/>
  <c r="F499" i="3"/>
  <c r="D499" i="3"/>
  <c r="F497" i="3"/>
  <c r="D497" i="3"/>
  <c r="G496" i="3"/>
  <c r="E496" i="3"/>
  <c r="F496" i="3"/>
  <c r="D496" i="3"/>
  <c r="G495" i="3"/>
  <c r="F495" i="3"/>
  <c r="E495" i="3"/>
  <c r="D495" i="3"/>
  <c r="F494" i="3"/>
  <c r="D494" i="3"/>
  <c r="F493" i="3"/>
  <c r="D493" i="3"/>
  <c r="F492" i="3"/>
  <c r="D492" i="3"/>
  <c r="F485" i="3"/>
  <c r="D485" i="3"/>
  <c r="J34" i="7"/>
  <c r="J33" i="7"/>
  <c r="G413" i="3"/>
  <c r="J27" i="7" s="1"/>
  <c r="J23" i="7"/>
  <c r="J22" i="7"/>
  <c r="G728" i="3"/>
  <c r="G430" i="3"/>
  <c r="G727" i="3"/>
  <c r="F390" i="3"/>
  <c r="D390" i="3"/>
  <c r="G429" i="3"/>
  <c r="J16" i="7" s="1"/>
  <c r="G733" i="3"/>
  <c r="G726" i="3"/>
  <c r="G418" i="3"/>
  <c r="F418" i="3"/>
  <c r="G734" i="3"/>
  <c r="F734" i="3"/>
  <c r="E734" i="3"/>
  <c r="D734" i="3"/>
  <c r="F733" i="3"/>
  <c r="D733" i="3"/>
  <c r="G732" i="3"/>
  <c r="F732" i="3"/>
  <c r="E732" i="3"/>
  <c r="D732" i="3"/>
  <c r="G731" i="3"/>
  <c r="F731" i="3"/>
  <c r="E731" i="3"/>
  <c r="D731" i="3"/>
  <c r="F729" i="3"/>
  <c r="D729" i="3"/>
  <c r="F728" i="3"/>
  <c r="D728" i="3"/>
  <c r="F727" i="3"/>
  <c r="D727" i="3"/>
  <c r="F726" i="3"/>
  <c r="D726" i="3"/>
  <c r="D432" i="3"/>
  <c r="E432" i="3"/>
  <c r="F432" i="3"/>
  <c r="G432" i="3"/>
  <c r="G431" i="3"/>
  <c r="F431" i="3"/>
  <c r="E431" i="3"/>
  <c r="D431" i="3"/>
  <c r="F430" i="3"/>
  <c r="D430" i="3"/>
  <c r="F429" i="3"/>
  <c r="D429" i="3"/>
  <c r="G421" i="3"/>
  <c r="F421" i="3"/>
  <c r="E421" i="3"/>
  <c r="D421" i="3" s="1"/>
  <c r="G420" i="3"/>
  <c r="F420" i="3"/>
  <c r="E420" i="3"/>
  <c r="D420" i="3"/>
  <c r="G419" i="3"/>
  <c r="F419" i="3" s="1"/>
  <c r="E419" i="3"/>
  <c r="D419" i="3"/>
  <c r="F415" i="3"/>
  <c r="D415" i="3"/>
  <c r="F413" i="3"/>
  <c r="G375" i="3"/>
  <c r="I29" i="7"/>
  <c r="I24" i="7"/>
  <c r="I19" i="7"/>
  <c r="I17" i="7"/>
  <c r="G347" i="3"/>
  <c r="F347" i="3" s="1"/>
  <c r="I11" i="7"/>
  <c r="F375" i="3"/>
  <c r="D375" i="3"/>
  <c r="E371" i="3"/>
  <c r="F371" i="3"/>
  <c r="G371" i="3"/>
  <c r="D371" i="3"/>
  <c r="F363" i="3"/>
  <c r="D363" i="3"/>
  <c r="F362" i="3"/>
  <c r="D362" i="3"/>
  <c r="F361" i="3"/>
  <c r="D361" i="3"/>
  <c r="F360" i="3"/>
  <c r="D360" i="3"/>
  <c r="G354" i="3"/>
  <c r="F354" i="3"/>
  <c r="E354" i="3"/>
  <c r="D354" i="3"/>
  <c r="F339" i="3"/>
  <c r="F338" i="3"/>
  <c r="F337" i="3"/>
  <c r="D339" i="3"/>
  <c r="D338" i="3"/>
  <c r="D337" i="3"/>
  <c r="D314" i="3"/>
  <c r="H29" i="7"/>
  <c r="G235" i="3"/>
  <c r="G302" i="3"/>
  <c r="G303" i="3"/>
  <c r="G270" i="3"/>
  <c r="G288" i="3"/>
  <c r="G306" i="3"/>
  <c r="G286" i="3"/>
  <c r="H16" i="7"/>
  <c r="G36" i="7"/>
  <c r="E34" i="7"/>
  <c r="G217" i="3"/>
  <c r="G27" i="7" s="1"/>
  <c r="G222" i="3"/>
  <c r="G209" i="3"/>
  <c r="G16" i="7"/>
  <c r="G210" i="3"/>
  <c r="G12" i="7"/>
  <c r="H10" i="7"/>
  <c r="G287" i="3"/>
  <c r="F287" i="3"/>
  <c r="E287" i="3"/>
  <c r="D287" i="3"/>
  <c r="G291" i="3"/>
  <c r="F291" i="3"/>
  <c r="E291" i="3"/>
  <c r="D291" i="3"/>
  <c r="G290" i="3"/>
  <c r="F290" i="3"/>
  <c r="E290" i="3"/>
  <c r="D290" i="3"/>
  <c r="G289" i="3"/>
  <c r="F289" i="3"/>
  <c r="E289" i="3"/>
  <c r="D289" i="3"/>
  <c r="F288" i="3"/>
  <c r="D288" i="3"/>
  <c r="F286" i="3"/>
  <c r="D286" i="3"/>
  <c r="G272" i="3"/>
  <c r="F272" i="3"/>
  <c r="E272" i="3"/>
  <c r="D272" i="3"/>
  <c r="G271" i="3"/>
  <c r="F271" i="3"/>
  <c r="D271" i="3"/>
  <c r="F270" i="3"/>
  <c r="D270" i="3"/>
  <c r="G269" i="3"/>
  <c r="F269" i="3"/>
  <c r="E269" i="3"/>
  <c r="D269" i="3"/>
  <c r="G268" i="3"/>
  <c r="F268" i="3"/>
  <c r="E268" i="3"/>
  <c r="D268" i="3"/>
  <c r="G245" i="3"/>
  <c r="F245" i="3"/>
  <c r="E245" i="3"/>
  <c r="D245" i="3"/>
  <c r="F235" i="3"/>
  <c r="G223" i="3"/>
  <c r="F223" i="3"/>
  <c r="G10" i="7"/>
  <c r="F222" i="3"/>
  <c r="D222" i="3"/>
  <c r="G221" i="3"/>
  <c r="F221" i="3"/>
  <c r="E221" i="3"/>
  <c r="D221" i="3"/>
  <c r="F216" i="3"/>
  <c r="F220" i="3"/>
  <c r="G216" i="3"/>
  <c r="G219" i="3"/>
  <c r="D216" i="3"/>
  <c r="D218" i="3" s="1"/>
  <c r="D219" i="3"/>
  <c r="F217" i="3"/>
  <c r="D217" i="3"/>
  <c r="D214" i="3"/>
  <c r="D213" i="3"/>
  <c r="F210" i="3"/>
  <c r="D210" i="3"/>
  <c r="F209" i="3"/>
  <c r="D209" i="3"/>
  <c r="F29" i="7"/>
  <c r="F133" i="3"/>
  <c r="F20" i="7"/>
  <c r="G128" i="3"/>
  <c r="F19" i="7" s="1"/>
  <c r="G127" i="3"/>
  <c r="F16" i="7" s="1"/>
  <c r="O16" i="7" s="1"/>
  <c r="P16" i="7" s="1"/>
  <c r="F13" i="7"/>
  <c r="F71" i="3"/>
  <c r="F10" i="7"/>
  <c r="G145" i="3"/>
  <c r="F145" i="3"/>
  <c r="E145" i="3"/>
  <c r="D145" i="3"/>
  <c r="E74" i="3"/>
  <c r="F74" i="3"/>
  <c r="G74" i="3"/>
  <c r="D74" i="3"/>
  <c r="E73" i="3"/>
  <c r="F73" i="3"/>
  <c r="G73" i="3"/>
  <c r="D73" i="3"/>
  <c r="D72" i="3"/>
  <c r="G69" i="3"/>
  <c r="F69" i="3"/>
  <c r="E69" i="3"/>
  <c r="D69" i="3"/>
  <c r="D68" i="3"/>
  <c r="D66" i="3"/>
  <c r="E65" i="3"/>
  <c r="D64" i="3"/>
  <c r="E33" i="7"/>
  <c r="O33" i="7" s="1"/>
  <c r="P33" i="7" s="1"/>
  <c r="E23" i="7"/>
  <c r="G44" i="3"/>
  <c r="E19" i="7" s="1"/>
  <c r="D50" i="3"/>
  <c r="D49" i="3"/>
  <c r="D48" i="3"/>
  <c r="D47" i="3"/>
  <c r="E36" i="3"/>
  <c r="D36" i="3"/>
  <c r="E35" i="3"/>
  <c r="D35" i="3"/>
  <c r="D34" i="3"/>
  <c r="D33" i="3"/>
  <c r="D32" i="3"/>
  <c r="D31" i="3"/>
  <c r="G4" i="3"/>
  <c r="G8" i="3" s="1"/>
  <c r="I10" i="7"/>
  <c r="N76" i="4"/>
  <c r="M76" i="4"/>
  <c r="L76" i="4"/>
  <c r="K76" i="4"/>
  <c r="J76" i="4"/>
  <c r="I76" i="4"/>
  <c r="H76" i="4"/>
  <c r="G76" i="4"/>
  <c r="F76" i="4"/>
  <c r="E76" i="4"/>
  <c r="C208" i="4"/>
  <c r="N179" i="4"/>
  <c r="N188" i="4" s="1"/>
  <c r="M179" i="4"/>
  <c r="M188" i="4"/>
  <c r="L179" i="4"/>
  <c r="K179" i="4"/>
  <c r="J179" i="4"/>
  <c r="I179" i="4"/>
  <c r="H179" i="4"/>
  <c r="G179" i="4"/>
  <c r="F179" i="4"/>
  <c r="E179" i="4"/>
  <c r="K205" i="4"/>
  <c r="N205" i="4"/>
  <c r="M205" i="4"/>
  <c r="L205" i="4"/>
  <c r="J205" i="4"/>
  <c r="I205" i="4"/>
  <c r="H205" i="4"/>
  <c r="G205" i="4"/>
  <c r="F205" i="4"/>
  <c r="E205" i="4"/>
  <c r="N196" i="4"/>
  <c r="M196" i="4"/>
  <c r="M208" i="4" s="1"/>
  <c r="L196" i="4"/>
  <c r="L208" i="4" s="1"/>
  <c r="K196" i="4"/>
  <c r="J196" i="4"/>
  <c r="I196" i="4"/>
  <c r="H196" i="4"/>
  <c r="G196" i="4"/>
  <c r="F196" i="4"/>
  <c r="F208" i="4" s="1"/>
  <c r="E196" i="4"/>
  <c r="F182" i="4"/>
  <c r="N16" i="4"/>
  <c r="M16" i="4"/>
  <c r="L16" i="4"/>
  <c r="K16" i="4"/>
  <c r="J16" i="4"/>
  <c r="I16" i="4"/>
  <c r="H16" i="4"/>
  <c r="G16" i="4"/>
  <c r="F16" i="4"/>
  <c r="N23" i="7"/>
  <c r="O23" i="7" s="1"/>
  <c r="P23" i="7" s="1"/>
  <c r="G193" i="3"/>
  <c r="G23" i="7"/>
  <c r="E292" i="3"/>
  <c r="F38" i="3"/>
  <c r="G292" i="3"/>
  <c r="G11" i="7"/>
  <c r="M58" i="4"/>
  <c r="K58" i="4"/>
  <c r="I58" i="4"/>
  <c r="G58" i="4"/>
  <c r="E58" i="4"/>
  <c r="E205" i="3"/>
  <c r="D205" i="3"/>
  <c r="G197" i="3"/>
  <c r="F197" i="3"/>
  <c r="G196" i="3"/>
  <c r="F196" i="3"/>
  <c r="G194" i="3"/>
  <c r="F194" i="3"/>
  <c r="L207" i="4"/>
  <c r="J207" i="4"/>
  <c r="H207" i="4"/>
  <c r="F207" i="4"/>
  <c r="F43" i="3"/>
  <c r="E17" i="7" s="1"/>
  <c r="G43" i="3"/>
  <c r="F44" i="3"/>
  <c r="F665" i="3"/>
  <c r="D665" i="3"/>
  <c r="F164" i="3"/>
  <c r="D164" i="3"/>
  <c r="I34" i="7"/>
  <c r="O34" i="7" s="1"/>
  <c r="P34" i="7" s="1"/>
  <c r="I33" i="7"/>
  <c r="H27" i="7"/>
  <c r="G304" i="3"/>
  <c r="H11" i="7"/>
  <c r="G33" i="7"/>
  <c r="F99" i="3"/>
  <c r="F24" i="7"/>
  <c r="J10" i="7"/>
  <c r="F9" i="7"/>
  <c r="N9" i="7"/>
  <c r="N200" i="4"/>
  <c r="M200" i="4"/>
  <c r="L200" i="4"/>
  <c r="K200" i="4"/>
  <c r="J200" i="4"/>
  <c r="I200" i="4"/>
  <c r="I208" i="4" s="1"/>
  <c r="G200" i="4"/>
  <c r="H200" i="4"/>
  <c r="F200" i="4"/>
  <c r="E200" i="4"/>
  <c r="N198" i="4"/>
  <c r="M198" i="4"/>
  <c r="L198" i="4"/>
  <c r="K198" i="4"/>
  <c r="J198" i="4"/>
  <c r="I198" i="4"/>
  <c r="H198" i="4"/>
  <c r="G198" i="4"/>
  <c r="F198" i="4"/>
  <c r="E198" i="4"/>
  <c r="N197" i="4"/>
  <c r="M197" i="4"/>
  <c r="L197" i="4"/>
  <c r="K197" i="4"/>
  <c r="J197" i="4"/>
  <c r="J208" i="4" s="1"/>
  <c r="I197" i="4"/>
  <c r="H197" i="4"/>
  <c r="G197" i="4"/>
  <c r="F197" i="4"/>
  <c r="E197" i="4"/>
  <c r="L206" i="4"/>
  <c r="K206" i="4"/>
  <c r="J206" i="4"/>
  <c r="I206" i="4"/>
  <c r="H206" i="4"/>
  <c r="G206" i="4"/>
  <c r="F206" i="4"/>
  <c r="E206" i="4"/>
  <c r="L203" i="4"/>
  <c r="K203" i="4"/>
  <c r="J203" i="4"/>
  <c r="I203" i="4"/>
  <c r="H203" i="4"/>
  <c r="G203" i="4"/>
  <c r="F203" i="4"/>
  <c r="E203" i="4"/>
  <c r="L202" i="4"/>
  <c r="K202" i="4"/>
  <c r="K208" i="4" s="1"/>
  <c r="J202" i="4"/>
  <c r="I202" i="4"/>
  <c r="H202" i="4"/>
  <c r="G202" i="4"/>
  <c r="F202" i="4"/>
  <c r="E202" i="4"/>
  <c r="K207" i="4"/>
  <c r="I207" i="4"/>
  <c r="G207" i="4"/>
  <c r="E207" i="4"/>
  <c r="F180" i="4"/>
  <c r="F183" i="4"/>
  <c r="F184" i="4"/>
  <c r="F187" i="4"/>
  <c r="G180" i="4"/>
  <c r="G182" i="4"/>
  <c r="G183" i="4"/>
  <c r="G184" i="4"/>
  <c r="G188" i="4" s="1"/>
  <c r="G187" i="4"/>
  <c r="H180" i="4"/>
  <c r="H182" i="4"/>
  <c r="H183" i="4"/>
  <c r="H184" i="4"/>
  <c r="H188" i="4" s="1"/>
  <c r="H187" i="4"/>
  <c r="I180" i="4"/>
  <c r="I182" i="4"/>
  <c r="I183" i="4"/>
  <c r="I184" i="4"/>
  <c r="I187" i="4"/>
  <c r="J180" i="4"/>
  <c r="J182" i="4"/>
  <c r="J183" i="4"/>
  <c r="J184" i="4"/>
  <c r="J187" i="4"/>
  <c r="K180" i="4"/>
  <c r="K182" i="4"/>
  <c r="K183" i="4"/>
  <c r="K184" i="4"/>
  <c r="K187" i="4"/>
  <c r="L180" i="4"/>
  <c r="L182" i="4"/>
  <c r="L188" i="4" s="1"/>
  <c r="L183" i="4"/>
  <c r="L184" i="4"/>
  <c r="L187" i="4"/>
  <c r="M180" i="4"/>
  <c r="M182" i="4"/>
  <c r="N180" i="4"/>
  <c r="N182" i="4"/>
  <c r="E180" i="4"/>
  <c r="E182" i="4"/>
  <c r="E183" i="4"/>
  <c r="E184" i="4"/>
  <c r="E188" i="4" s="1"/>
  <c r="E187" i="4"/>
  <c r="C188" i="4"/>
  <c r="E168" i="4"/>
  <c r="F168" i="4"/>
  <c r="G168" i="4"/>
  <c r="H168" i="4"/>
  <c r="I168" i="4"/>
  <c r="J168" i="4"/>
  <c r="K168" i="4"/>
  <c r="L168" i="4"/>
  <c r="C169" i="4"/>
  <c r="D169" i="4"/>
  <c r="E153" i="4"/>
  <c r="E154" i="4"/>
  <c r="E155" i="4"/>
  <c r="E157" i="4"/>
  <c r="E158" i="4"/>
  <c r="E159" i="4"/>
  <c r="E160" i="4"/>
  <c r="E162" i="4"/>
  <c r="E163" i="4"/>
  <c r="E164" i="4"/>
  <c r="E165" i="4"/>
  <c r="F153" i="4"/>
  <c r="F169" i="4" s="1"/>
  <c r="F154" i="4"/>
  <c r="F155" i="4"/>
  <c r="F157" i="4"/>
  <c r="F158" i="4"/>
  <c r="F159" i="4"/>
  <c r="F160" i="4"/>
  <c r="F162" i="4"/>
  <c r="F163" i="4"/>
  <c r="F164" i="4"/>
  <c r="F165" i="4"/>
  <c r="G153" i="4"/>
  <c r="G154" i="4"/>
  <c r="G155" i="4"/>
  <c r="G157" i="4"/>
  <c r="G158" i="4"/>
  <c r="G159" i="4"/>
  <c r="G160" i="4"/>
  <c r="G162" i="4"/>
  <c r="G163" i="4"/>
  <c r="G164" i="4"/>
  <c r="G165" i="4"/>
  <c r="H153" i="4"/>
  <c r="H154" i="4"/>
  <c r="H155" i="4"/>
  <c r="H169" i="4" s="1"/>
  <c r="H157" i="4"/>
  <c r="H158" i="4"/>
  <c r="H159" i="4"/>
  <c r="H160" i="4"/>
  <c r="H162" i="4"/>
  <c r="H163" i="4"/>
  <c r="H164" i="4"/>
  <c r="H165" i="4"/>
  <c r="I153" i="4"/>
  <c r="I154" i="4"/>
  <c r="I155" i="4"/>
  <c r="I157" i="4"/>
  <c r="I169" i="4" s="1"/>
  <c r="I158" i="4"/>
  <c r="I159" i="4"/>
  <c r="I160" i="4"/>
  <c r="I162" i="4"/>
  <c r="I163" i="4"/>
  <c r="I164" i="4"/>
  <c r="I165" i="4"/>
  <c r="J153" i="4"/>
  <c r="J154" i="4"/>
  <c r="J155" i="4"/>
  <c r="J157" i="4"/>
  <c r="J158" i="4"/>
  <c r="J159" i="4"/>
  <c r="J160" i="4"/>
  <c r="J162" i="4"/>
  <c r="J163" i="4"/>
  <c r="J164" i="4"/>
  <c r="J165" i="4"/>
  <c r="K153" i="4"/>
  <c r="K154" i="4"/>
  <c r="K157" i="4"/>
  <c r="K158" i="4"/>
  <c r="K159" i="4"/>
  <c r="K160" i="4"/>
  <c r="K169" i="4" s="1"/>
  <c r="K162" i="4"/>
  <c r="K163" i="4"/>
  <c r="K164" i="4"/>
  <c r="K165" i="4"/>
  <c r="L153" i="4"/>
  <c r="L154" i="4"/>
  <c r="L169" i="4" s="1"/>
  <c r="L157" i="4"/>
  <c r="L158" i="4"/>
  <c r="L159" i="4"/>
  <c r="L160" i="4"/>
  <c r="L162" i="4"/>
  <c r="L163" i="4"/>
  <c r="L164" i="4"/>
  <c r="L165" i="4"/>
  <c r="M153" i="4"/>
  <c r="M154" i="4"/>
  <c r="M155" i="4"/>
  <c r="M157" i="4"/>
  <c r="M169" i="4" s="1"/>
  <c r="M158" i="4"/>
  <c r="M159" i="4"/>
  <c r="M160" i="4"/>
  <c r="M162" i="4"/>
  <c r="M165" i="4"/>
  <c r="N153" i="4"/>
  <c r="N169" i="4" s="1"/>
  <c r="N157" i="4"/>
  <c r="N158" i="4"/>
  <c r="N159" i="4"/>
  <c r="N160" i="4"/>
  <c r="N162" i="4"/>
  <c r="N165" i="4"/>
  <c r="D188" i="4"/>
  <c r="F133" i="4"/>
  <c r="F136" i="4"/>
  <c r="F137" i="4"/>
  <c r="F138" i="4"/>
  <c r="F140" i="4"/>
  <c r="F148" i="4" s="1"/>
  <c r="F141" i="4"/>
  <c r="F142" i="4"/>
  <c r="F143" i="4"/>
  <c r="F145" i="4"/>
  <c r="G132" i="4"/>
  <c r="G133" i="4"/>
  <c r="G148" i="4" s="1"/>
  <c r="G134" i="4"/>
  <c r="G136" i="4"/>
  <c r="G137" i="4"/>
  <c r="G138" i="4"/>
  <c r="G140" i="4"/>
  <c r="G141" i="4"/>
  <c r="G142" i="4"/>
  <c r="G143" i="4"/>
  <c r="G145" i="4"/>
  <c r="H133" i="4"/>
  <c r="H136" i="4"/>
  <c r="H137" i="4"/>
  <c r="H148" i="4" s="1"/>
  <c r="H138" i="4"/>
  <c r="H140" i="4"/>
  <c r="H141" i="4"/>
  <c r="H142" i="4"/>
  <c r="H143" i="4"/>
  <c r="H145" i="4"/>
  <c r="I132" i="4"/>
  <c r="I133" i="4"/>
  <c r="I136" i="4"/>
  <c r="I137" i="4"/>
  <c r="I138" i="4"/>
  <c r="I140" i="4"/>
  <c r="I141" i="4"/>
  <c r="I142" i="4"/>
  <c r="I143" i="4"/>
  <c r="I145" i="4"/>
  <c r="J133" i="4"/>
  <c r="J148" i="4"/>
  <c r="J136" i="4"/>
  <c r="J137" i="4"/>
  <c r="J138" i="4"/>
  <c r="J140" i="4"/>
  <c r="J141" i="4"/>
  <c r="J142" i="4"/>
  <c r="J143" i="4"/>
  <c r="J145" i="4"/>
  <c r="K132" i="4"/>
  <c r="K133" i="4"/>
  <c r="K134" i="4"/>
  <c r="K136" i="4"/>
  <c r="K137" i="4"/>
  <c r="K138" i="4"/>
  <c r="K140" i="4"/>
  <c r="K141" i="4"/>
  <c r="K142" i="4"/>
  <c r="K143" i="4"/>
  <c r="K145" i="4"/>
  <c r="L133" i="4"/>
  <c r="L136" i="4"/>
  <c r="L137" i="4"/>
  <c r="L138" i="4"/>
  <c r="L140" i="4"/>
  <c r="L148" i="4" s="1"/>
  <c r="L141" i="4"/>
  <c r="L142" i="4"/>
  <c r="L143" i="4"/>
  <c r="L145" i="4"/>
  <c r="M132" i="4"/>
  <c r="M133" i="4"/>
  <c r="M148" i="4" s="1"/>
  <c r="M134" i="4"/>
  <c r="M136" i="4"/>
  <c r="M137" i="4"/>
  <c r="M138" i="4"/>
  <c r="M140" i="4"/>
  <c r="M141" i="4"/>
  <c r="N136" i="4"/>
  <c r="N148" i="4" s="1"/>
  <c r="N137" i="4"/>
  <c r="N138" i="4"/>
  <c r="N140" i="4"/>
  <c r="N141" i="4"/>
  <c r="E132" i="4"/>
  <c r="E148" i="4" s="1"/>
  <c r="E133" i="4"/>
  <c r="E134" i="4"/>
  <c r="E136" i="4"/>
  <c r="E137" i="4"/>
  <c r="E138" i="4"/>
  <c r="E140" i="4"/>
  <c r="E141" i="4"/>
  <c r="E142" i="4"/>
  <c r="E143" i="4"/>
  <c r="E145" i="4"/>
  <c r="C148" i="4"/>
  <c r="G129" i="3"/>
  <c r="F129" i="3"/>
  <c r="E129" i="3"/>
  <c r="D129" i="3"/>
  <c r="F128" i="3"/>
  <c r="D128" i="3"/>
  <c r="F127" i="3"/>
  <c r="E127" i="3"/>
  <c r="N39" i="4"/>
  <c r="M39" i="4"/>
  <c r="L39" i="4"/>
  <c r="K39" i="4"/>
  <c r="J39" i="4"/>
  <c r="I39" i="4"/>
  <c r="H39" i="4"/>
  <c r="G39" i="4"/>
  <c r="G47" i="4" s="1"/>
  <c r="F39" i="4"/>
  <c r="E39" i="4"/>
  <c r="F115" i="4"/>
  <c r="F116" i="4"/>
  <c r="F119" i="4"/>
  <c r="F120" i="4"/>
  <c r="F126" i="4" s="1"/>
  <c r="F121" i="4"/>
  <c r="F123" i="4"/>
  <c r="F125" i="4"/>
  <c r="G115" i="4"/>
  <c r="G116" i="4"/>
  <c r="G119" i="4"/>
  <c r="G126" i="4" s="1"/>
  <c r="G120" i="4"/>
  <c r="G121" i="4"/>
  <c r="G123" i="4"/>
  <c r="G125" i="4"/>
  <c r="H115" i="4"/>
  <c r="H126" i="4" s="1"/>
  <c r="H116" i="4"/>
  <c r="H119" i="4"/>
  <c r="H120" i="4"/>
  <c r="H121" i="4"/>
  <c r="H123" i="4"/>
  <c r="H125" i="4"/>
  <c r="I115" i="4"/>
  <c r="I116" i="4"/>
  <c r="I119" i="4"/>
  <c r="I120" i="4"/>
  <c r="I121" i="4"/>
  <c r="I123" i="4"/>
  <c r="I125" i="4"/>
  <c r="J115" i="4"/>
  <c r="J116" i="4"/>
  <c r="J119" i="4"/>
  <c r="J120" i="4"/>
  <c r="J121" i="4"/>
  <c r="J123" i="4"/>
  <c r="J125" i="4"/>
  <c r="K115" i="4"/>
  <c r="K116" i="4"/>
  <c r="K119" i="4"/>
  <c r="K120" i="4"/>
  <c r="K121" i="4"/>
  <c r="K125" i="4"/>
  <c r="L115" i="4"/>
  <c r="L116" i="4"/>
  <c r="L119" i="4"/>
  <c r="L120" i="4"/>
  <c r="L121" i="4"/>
  <c r="L123" i="4"/>
  <c r="L125" i="4"/>
  <c r="M115" i="4"/>
  <c r="M116" i="4"/>
  <c r="M126" i="4"/>
  <c r="M119" i="4"/>
  <c r="M123" i="4"/>
  <c r="N115" i="4"/>
  <c r="N116" i="4"/>
  <c r="N119" i="4"/>
  <c r="N126" i="4" s="1"/>
  <c r="N123" i="4"/>
  <c r="E115" i="4"/>
  <c r="E116" i="4"/>
  <c r="E119" i="4"/>
  <c r="E120" i="4"/>
  <c r="E121" i="4"/>
  <c r="E125" i="4"/>
  <c r="C126" i="4"/>
  <c r="D126" i="4"/>
  <c r="F31" i="4"/>
  <c r="F33" i="4"/>
  <c r="F34" i="4"/>
  <c r="F47" i="4" s="1"/>
  <c r="F35" i="4"/>
  <c r="F36" i="4"/>
  <c r="F40" i="4"/>
  <c r="F41" i="4"/>
  <c r="F42" i="4"/>
  <c r="F45" i="4"/>
  <c r="G31" i="4"/>
  <c r="G33" i="4"/>
  <c r="G34" i="4"/>
  <c r="G35" i="4"/>
  <c r="G36" i="4"/>
  <c r="G40" i="4"/>
  <c r="G41" i="4"/>
  <c r="G42" i="4"/>
  <c r="G45" i="4"/>
  <c r="G46" i="4"/>
  <c r="H31" i="4"/>
  <c r="H47" i="4" s="1"/>
  <c r="H33" i="4"/>
  <c r="H34" i="4"/>
  <c r="H35" i="4"/>
  <c r="H36" i="4"/>
  <c r="H40" i="4"/>
  <c r="H41" i="4"/>
  <c r="H42" i="4"/>
  <c r="H45" i="4"/>
  <c r="I31" i="4"/>
  <c r="I33" i="4"/>
  <c r="I34" i="4"/>
  <c r="I47" i="4" s="1"/>
  <c r="I35" i="4"/>
  <c r="I36" i="4"/>
  <c r="I40" i="4"/>
  <c r="I41" i="4"/>
  <c r="I42" i="4"/>
  <c r="I45" i="4"/>
  <c r="I46" i="4"/>
  <c r="J31" i="4"/>
  <c r="J33" i="4"/>
  <c r="J34" i="4"/>
  <c r="J35" i="4"/>
  <c r="J36" i="4"/>
  <c r="J40" i="4"/>
  <c r="J41" i="4"/>
  <c r="J42" i="4"/>
  <c r="J45" i="4"/>
  <c r="K31" i="4"/>
  <c r="K33" i="4"/>
  <c r="K34" i="4"/>
  <c r="K47" i="4" s="1"/>
  <c r="K35" i="4"/>
  <c r="K36" i="4"/>
  <c r="K40" i="4"/>
  <c r="K41" i="4"/>
  <c r="K42" i="4"/>
  <c r="K45" i="4"/>
  <c r="K46" i="4"/>
  <c r="L31" i="4"/>
  <c r="L33" i="4"/>
  <c r="L34" i="4"/>
  <c r="L35" i="4"/>
  <c r="L36" i="4"/>
  <c r="L40" i="4"/>
  <c r="L41" i="4"/>
  <c r="L42" i="4"/>
  <c r="L45" i="4"/>
  <c r="M31" i="4"/>
  <c r="M33" i="4"/>
  <c r="M34" i="4"/>
  <c r="M35" i="4"/>
  <c r="M36" i="4"/>
  <c r="N31" i="4"/>
  <c r="N34" i="4"/>
  <c r="N36" i="4"/>
  <c r="E31" i="4"/>
  <c r="E33" i="4"/>
  <c r="E34" i="4"/>
  <c r="E35" i="4"/>
  <c r="E36" i="4"/>
  <c r="E47" i="4" s="1"/>
  <c r="E40" i="4"/>
  <c r="E41" i="4"/>
  <c r="E42" i="4"/>
  <c r="E45" i="4"/>
  <c r="E46" i="4"/>
  <c r="F52" i="4"/>
  <c r="F66" i="4" s="1"/>
  <c r="F56" i="4"/>
  <c r="F57" i="4"/>
  <c r="F58" i="4"/>
  <c r="F60" i="4"/>
  <c r="F61" i="4"/>
  <c r="F63" i="4"/>
  <c r="F65" i="4"/>
  <c r="G56" i="4"/>
  <c r="G57" i="4"/>
  <c r="G60" i="4"/>
  <c r="G61" i="4"/>
  <c r="G65" i="4"/>
  <c r="H52" i="4"/>
  <c r="H56" i="4"/>
  <c r="H57" i="4"/>
  <c r="H58" i="4"/>
  <c r="H60" i="4"/>
  <c r="H61" i="4"/>
  <c r="H63" i="4"/>
  <c r="H65" i="4"/>
  <c r="I56" i="4"/>
  <c r="I57" i="4"/>
  <c r="I60" i="4"/>
  <c r="I66" i="4" s="1"/>
  <c r="I61" i="4"/>
  <c r="I65" i="4"/>
  <c r="J52" i="4"/>
  <c r="J56" i="4"/>
  <c r="J57" i="4"/>
  <c r="J66" i="4" s="1"/>
  <c r="J58" i="4"/>
  <c r="J60" i="4"/>
  <c r="J61" i="4"/>
  <c r="J65" i="4"/>
  <c r="K56" i="4"/>
  <c r="K57" i="4"/>
  <c r="K66" i="4" s="1"/>
  <c r="K60" i="4"/>
  <c r="K61" i="4"/>
  <c r="K65" i="4"/>
  <c r="L52" i="4"/>
  <c r="L56" i="4"/>
  <c r="L57" i="4"/>
  <c r="L58" i="4"/>
  <c r="L60" i="4"/>
  <c r="L61" i="4"/>
  <c r="L65" i="4"/>
  <c r="M56" i="4"/>
  <c r="M57" i="4"/>
  <c r="M66" i="4"/>
  <c r="N52" i="4"/>
  <c r="N66" i="4" s="1"/>
  <c r="N56" i="4"/>
  <c r="N57" i="4"/>
  <c r="N58" i="4"/>
  <c r="E56" i="4"/>
  <c r="E57" i="4"/>
  <c r="E60" i="4"/>
  <c r="E61" i="4"/>
  <c r="E65" i="4"/>
  <c r="G71" i="4"/>
  <c r="G72" i="4"/>
  <c r="G86" i="4" s="1"/>
  <c r="G74" i="4"/>
  <c r="G75" i="4"/>
  <c r="G78" i="4"/>
  <c r="G79" i="4"/>
  <c r="G80" i="4"/>
  <c r="G81" i="4"/>
  <c r="G83" i="4"/>
  <c r="G85" i="4"/>
  <c r="H71" i="4"/>
  <c r="H74" i="4"/>
  <c r="H75" i="4"/>
  <c r="H78" i="4"/>
  <c r="H79" i="4"/>
  <c r="H80" i="4"/>
  <c r="H81" i="4"/>
  <c r="H85" i="4"/>
  <c r="I71" i="4"/>
  <c r="I72" i="4"/>
  <c r="I74" i="4"/>
  <c r="I75" i="4"/>
  <c r="I78" i="4"/>
  <c r="I79" i="4"/>
  <c r="I80" i="4"/>
  <c r="I81" i="4"/>
  <c r="I82" i="4"/>
  <c r="I85" i="4"/>
  <c r="J71" i="4"/>
  <c r="J74" i="4"/>
  <c r="J75" i="4"/>
  <c r="J78" i="4"/>
  <c r="J79" i="4"/>
  <c r="J80" i="4"/>
  <c r="J81" i="4"/>
  <c r="J82" i="4"/>
  <c r="J85" i="4"/>
  <c r="K71" i="4"/>
  <c r="K86" i="4" s="1"/>
  <c r="K72" i="4"/>
  <c r="K74" i="4"/>
  <c r="K75" i="4"/>
  <c r="K79" i="4"/>
  <c r="K80" i="4"/>
  <c r="K81" i="4"/>
  <c r="K82" i="4"/>
  <c r="K85" i="4"/>
  <c r="L71" i="4"/>
  <c r="L74" i="4"/>
  <c r="L75" i="4"/>
  <c r="L78" i="4"/>
  <c r="L86" i="4" s="1"/>
  <c r="L79" i="4"/>
  <c r="L80" i="4"/>
  <c r="L81" i="4"/>
  <c r="L82" i="4"/>
  <c r="L85" i="4"/>
  <c r="M71" i="4"/>
  <c r="M74" i="4"/>
  <c r="M75" i="4"/>
  <c r="M78" i="4"/>
  <c r="M79" i="4"/>
  <c r="M83" i="4"/>
  <c r="N71" i="4"/>
  <c r="N86" i="4" s="1"/>
  <c r="N74" i="4"/>
  <c r="N75" i="4"/>
  <c r="N78" i="4"/>
  <c r="N79" i="4"/>
  <c r="N83" i="4"/>
  <c r="E71" i="4"/>
  <c r="E86" i="4" s="1"/>
  <c r="E72" i="4"/>
  <c r="E74" i="4"/>
  <c r="E75" i="4"/>
  <c r="E79" i="4"/>
  <c r="E80" i="4"/>
  <c r="E81" i="4"/>
  <c r="E83" i="4"/>
  <c r="E85" i="4"/>
  <c r="F71" i="4"/>
  <c r="F74" i="4"/>
  <c r="F75" i="4"/>
  <c r="F78" i="4"/>
  <c r="F79" i="4"/>
  <c r="F80" i="4"/>
  <c r="F81" i="4"/>
  <c r="F83" i="4"/>
  <c r="F85" i="4"/>
  <c r="C86" i="4"/>
  <c r="D86" i="4"/>
  <c r="C106" i="4"/>
  <c r="D106" i="4"/>
  <c r="L105" i="4"/>
  <c r="K105" i="4"/>
  <c r="J105" i="4"/>
  <c r="I105" i="4"/>
  <c r="H105" i="4"/>
  <c r="G105" i="4"/>
  <c r="F105" i="4"/>
  <c r="E105" i="4"/>
  <c r="N99" i="4"/>
  <c r="M99" i="4"/>
  <c r="L99" i="4"/>
  <c r="K99" i="4"/>
  <c r="J99" i="4"/>
  <c r="I99" i="4"/>
  <c r="H99" i="4"/>
  <c r="G99" i="4"/>
  <c r="F99" i="4"/>
  <c r="E99" i="4"/>
  <c r="L101" i="4"/>
  <c r="K101" i="4"/>
  <c r="J101" i="4"/>
  <c r="I101" i="4"/>
  <c r="H101" i="4"/>
  <c r="G101" i="4"/>
  <c r="F101" i="4"/>
  <c r="E101" i="4"/>
  <c r="L100" i="4"/>
  <c r="K100" i="4"/>
  <c r="J100" i="4"/>
  <c r="I100" i="4"/>
  <c r="H100" i="4"/>
  <c r="G100" i="4"/>
  <c r="F100" i="4"/>
  <c r="E100" i="4"/>
  <c r="N98" i="4"/>
  <c r="M98" i="4"/>
  <c r="L98" i="4"/>
  <c r="K98" i="4"/>
  <c r="J98" i="4"/>
  <c r="I98" i="4"/>
  <c r="H98" i="4"/>
  <c r="G98" i="4"/>
  <c r="F98" i="4"/>
  <c r="E98" i="4"/>
  <c r="N97" i="4"/>
  <c r="M97" i="4"/>
  <c r="L97" i="4"/>
  <c r="K97" i="4"/>
  <c r="J97" i="4"/>
  <c r="I97" i="4"/>
  <c r="H97" i="4"/>
  <c r="G97" i="4"/>
  <c r="F97" i="4"/>
  <c r="E97" i="4"/>
  <c r="M96" i="4"/>
  <c r="L96" i="4"/>
  <c r="L106" i="4"/>
  <c r="K96" i="4"/>
  <c r="J96" i="4"/>
  <c r="I96" i="4"/>
  <c r="H96" i="4"/>
  <c r="G96" i="4"/>
  <c r="F96" i="4"/>
  <c r="E96" i="4"/>
  <c r="M92" i="4"/>
  <c r="M106" i="4" s="1"/>
  <c r="L92" i="4"/>
  <c r="K92" i="4"/>
  <c r="J92" i="4"/>
  <c r="I92" i="4"/>
  <c r="H92" i="4"/>
  <c r="G92" i="4"/>
  <c r="F92" i="4"/>
  <c r="E92" i="4"/>
  <c r="N91" i="4"/>
  <c r="M91" i="4"/>
  <c r="L91" i="4"/>
  <c r="K91" i="4"/>
  <c r="K106" i="4" s="1"/>
  <c r="J91" i="4"/>
  <c r="I91" i="4"/>
  <c r="H91" i="4"/>
  <c r="G91" i="4"/>
  <c r="F91" i="4"/>
  <c r="F106" i="4" s="1"/>
  <c r="E91" i="4"/>
  <c r="N95" i="4"/>
  <c r="M95" i="4"/>
  <c r="L95" i="4"/>
  <c r="K95" i="4"/>
  <c r="J95" i="4"/>
  <c r="J106" i="4" s="1"/>
  <c r="I95" i="4"/>
  <c r="H95" i="4"/>
  <c r="G95" i="4"/>
  <c r="F95" i="4"/>
  <c r="E95" i="4"/>
  <c r="C66" i="4"/>
  <c r="D66" i="4"/>
  <c r="C47" i="4"/>
  <c r="D47" i="4"/>
  <c r="L103" i="4"/>
  <c r="K103" i="4"/>
  <c r="J103" i="4"/>
  <c r="I103" i="4"/>
  <c r="H103" i="4"/>
  <c r="G103" i="4"/>
  <c r="F103" i="4"/>
  <c r="E103" i="4"/>
  <c r="N8" i="4"/>
  <c r="N25" i="4" s="1"/>
  <c r="N14" i="4"/>
  <c r="N15" i="4"/>
  <c r="N18" i="4"/>
  <c r="N24" i="4"/>
  <c r="M8" i="4"/>
  <c r="M9" i="4"/>
  <c r="M12" i="4"/>
  <c r="M14" i="4"/>
  <c r="M15" i="4"/>
  <c r="M18" i="4"/>
  <c r="M24" i="4"/>
  <c r="M25" i="4"/>
  <c r="L8" i="4"/>
  <c r="L12" i="4"/>
  <c r="L14" i="4"/>
  <c r="L15" i="4"/>
  <c r="L17" i="4"/>
  <c r="L25" i="4" s="1"/>
  <c r="L18" i="4"/>
  <c r="L19" i="4"/>
  <c r="L20" i="4"/>
  <c r="L22" i="4"/>
  <c r="L24" i="4"/>
  <c r="K8" i="4"/>
  <c r="K12" i="4"/>
  <c r="K14" i="4"/>
  <c r="K15" i="4"/>
  <c r="K17" i="4"/>
  <c r="K18" i="4"/>
  <c r="K19" i="4"/>
  <c r="K20" i="4"/>
  <c r="K22" i="4"/>
  <c r="K24" i="4"/>
  <c r="J8" i="4"/>
  <c r="J9" i="4"/>
  <c r="J12" i="4"/>
  <c r="J14" i="4"/>
  <c r="J15" i="4"/>
  <c r="J17" i="4"/>
  <c r="J18" i="4"/>
  <c r="J19" i="4"/>
  <c r="J20" i="4"/>
  <c r="J22" i="4"/>
  <c r="J24" i="4"/>
  <c r="I8" i="4"/>
  <c r="I9" i="4"/>
  <c r="I12" i="4"/>
  <c r="I25" i="4" s="1"/>
  <c r="I14" i="4"/>
  <c r="I15" i="4"/>
  <c r="I17" i="4"/>
  <c r="I18" i="4"/>
  <c r="I19" i="4"/>
  <c r="I20" i="4"/>
  <c r="I22" i="4"/>
  <c r="I24" i="4"/>
  <c r="H8" i="4"/>
  <c r="H9" i="4"/>
  <c r="H12" i="4"/>
  <c r="H25" i="4" s="1"/>
  <c r="H14" i="4"/>
  <c r="H15" i="4"/>
  <c r="H17" i="4"/>
  <c r="H18" i="4"/>
  <c r="H19" i="4"/>
  <c r="H20" i="4"/>
  <c r="H22" i="4"/>
  <c r="H24" i="4"/>
  <c r="G8" i="4"/>
  <c r="G9" i="4"/>
  <c r="G12" i="4"/>
  <c r="G14" i="4"/>
  <c r="G15" i="4"/>
  <c r="G17" i="4"/>
  <c r="G18" i="4"/>
  <c r="G19" i="4"/>
  <c r="G20" i="4"/>
  <c r="G22" i="4"/>
  <c r="G24" i="4"/>
  <c r="F8" i="4"/>
  <c r="F25" i="4" s="1"/>
  <c r="F9" i="4"/>
  <c r="F12" i="4"/>
  <c r="F14" i="4"/>
  <c r="F15" i="4"/>
  <c r="F17" i="4"/>
  <c r="F18" i="4"/>
  <c r="F19" i="4"/>
  <c r="F20" i="4"/>
  <c r="F22" i="4"/>
  <c r="F24" i="4"/>
  <c r="G709" i="3"/>
  <c r="F709" i="3"/>
  <c r="E709" i="3"/>
  <c r="D709" i="3"/>
  <c r="F705" i="3"/>
  <c r="F704" i="3"/>
  <c r="G663" i="3"/>
  <c r="F663" i="3"/>
  <c r="E663" i="3"/>
  <c r="D663" i="3"/>
  <c r="G314" i="3"/>
  <c r="F314" i="3"/>
  <c r="E314" i="3"/>
  <c r="G307" i="3"/>
  <c r="F307" i="3"/>
  <c r="E307" i="3"/>
  <c r="D307" i="3"/>
  <c r="F306" i="3"/>
  <c r="D306" i="3"/>
  <c r="G305" i="3"/>
  <c r="F305" i="3"/>
  <c r="E305" i="3"/>
  <c r="D305" i="3"/>
  <c r="F304" i="3"/>
  <c r="D304" i="3"/>
  <c r="F303" i="3"/>
  <c r="D303" i="3"/>
  <c r="F302" i="3"/>
  <c r="D302" i="3"/>
  <c r="F292" i="3"/>
  <c r="D292" i="3"/>
  <c r="G227" i="3"/>
  <c r="F227" i="3"/>
  <c r="E227" i="3"/>
  <c r="D227" i="3"/>
  <c r="D194" i="3"/>
  <c r="D196" i="3"/>
  <c r="D197" i="3"/>
  <c r="D169" i="3"/>
  <c r="G169" i="3"/>
  <c r="F169" i="3"/>
  <c r="E169" i="3"/>
  <c r="G126" i="3"/>
  <c r="F126" i="3"/>
  <c r="E126" i="3"/>
  <c r="D126" i="3"/>
  <c r="F124" i="3"/>
  <c r="F121" i="3"/>
  <c r="D120" i="3"/>
  <c r="F119" i="3"/>
  <c r="G80" i="3"/>
  <c r="F80" i="3"/>
  <c r="E80" i="3"/>
  <c r="D80" i="3"/>
  <c r="E201" i="4"/>
  <c r="E93" i="4"/>
  <c r="K201" i="4"/>
  <c r="K93" i="4"/>
  <c r="I201" i="4"/>
  <c r="D208" i="4"/>
  <c r="N201" i="4"/>
  <c r="N208" i="4" s="1"/>
  <c r="M201" i="4"/>
  <c r="L201" i="4"/>
  <c r="J201" i="4"/>
  <c r="H201" i="4"/>
  <c r="H208" i="4" s="1"/>
  <c r="G201" i="4"/>
  <c r="F201" i="4"/>
  <c r="D148" i="4"/>
  <c r="D100" i="3"/>
  <c r="F101" i="3"/>
  <c r="D101" i="3"/>
  <c r="F100" i="3"/>
  <c r="D34" i="6"/>
  <c r="D33" i="6"/>
  <c r="D32" i="6"/>
  <c r="D31" i="6"/>
  <c r="P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I12" i="7"/>
  <c r="D12" i="7"/>
  <c r="D11" i="7"/>
  <c r="E10" i="7"/>
  <c r="O10" i="7" s="1"/>
  <c r="P10" i="7" s="1"/>
  <c r="D10" i="7"/>
  <c r="D13" i="7"/>
  <c r="D14" i="7"/>
  <c r="D15" i="7"/>
  <c r="D16" i="7"/>
  <c r="D17" i="7"/>
  <c r="D18" i="7"/>
  <c r="D19" i="7"/>
  <c r="D20" i="7"/>
  <c r="D21" i="7"/>
  <c r="E22" i="7"/>
  <c r="O22" i="7"/>
  <c r="P22" i="7" s="1"/>
  <c r="F22" i="7"/>
  <c r="G22" i="7"/>
  <c r="H22" i="7"/>
  <c r="I22" i="7"/>
  <c r="K22" i="7"/>
  <c r="L22" i="7"/>
  <c r="M22" i="7"/>
  <c r="N22" i="7"/>
  <c r="D22" i="7"/>
  <c r="D23" i="7"/>
  <c r="D24" i="7"/>
  <c r="D25" i="7"/>
  <c r="F26" i="7"/>
  <c r="H26" i="7"/>
  <c r="D26" i="7"/>
  <c r="D27" i="7"/>
  <c r="E28" i="7"/>
  <c r="O28" i="7" s="1"/>
  <c r="P28" i="7" s="1"/>
  <c r="F28" i="7"/>
  <c r="J28" i="7"/>
  <c r="D28" i="7"/>
  <c r="D29" i="7"/>
  <c r="D30" i="7"/>
  <c r="O31" i="7"/>
  <c r="P31" i="7" s="1"/>
  <c r="D31" i="7"/>
  <c r="E32" i="7"/>
  <c r="F32" i="7"/>
  <c r="G32" i="7"/>
  <c r="H32" i="7"/>
  <c r="I32" i="7"/>
  <c r="J32" i="7"/>
  <c r="K32" i="7"/>
  <c r="L32" i="7"/>
  <c r="M32" i="7"/>
  <c r="N32" i="7"/>
  <c r="D32" i="7"/>
  <c r="D33" i="7"/>
  <c r="D34" i="7"/>
  <c r="D35" i="7"/>
  <c r="E9" i="7"/>
  <c r="G9" i="7"/>
  <c r="H9" i="7"/>
  <c r="I9" i="7"/>
  <c r="J9" i="7"/>
  <c r="K9" i="7"/>
  <c r="L9" i="7"/>
  <c r="D9" i="7"/>
  <c r="D36" i="7"/>
  <c r="G93" i="4"/>
  <c r="M93" i="4"/>
  <c r="N96" i="4"/>
  <c r="D97" i="3"/>
  <c r="D37" i="6"/>
  <c r="D36" i="6"/>
  <c r="D38" i="3"/>
  <c r="E9" i="3"/>
  <c r="E32" i="6"/>
  <c r="F32" i="6"/>
  <c r="G32" i="6"/>
  <c r="H32" i="6"/>
  <c r="I32" i="6"/>
  <c r="J32" i="6"/>
  <c r="K32" i="6"/>
  <c r="L32" i="6"/>
  <c r="M32" i="6"/>
  <c r="N32" i="6"/>
  <c r="E22" i="6"/>
  <c r="F22" i="6"/>
  <c r="G22" i="6"/>
  <c r="H22" i="6"/>
  <c r="I22" i="6"/>
  <c r="J22" i="6"/>
  <c r="K22" i="6"/>
  <c r="L22" i="6"/>
  <c r="M22" i="6"/>
  <c r="N22" i="6"/>
  <c r="F211" i="4"/>
  <c r="F26" i="3"/>
  <c r="H211" i="4"/>
  <c r="J211" i="4"/>
  <c r="E211" i="4"/>
  <c r="G211" i="4"/>
  <c r="I211" i="4"/>
  <c r="L211" i="4"/>
  <c r="K211" i="4"/>
  <c r="D704" i="3"/>
  <c r="D602" i="3"/>
  <c r="K148" i="4"/>
  <c r="F23" i="7"/>
  <c r="F25" i="7"/>
  <c r="G31" i="3"/>
  <c r="E11" i="7" s="1"/>
  <c r="E14" i="6"/>
  <c r="F530" i="3"/>
  <c r="D530" i="3"/>
  <c r="L14" i="6"/>
  <c r="F675" i="3"/>
  <c r="G33" i="3"/>
  <c r="E29" i="7"/>
  <c r="E352" i="3"/>
  <c r="F23" i="6"/>
  <c r="D133" i="3"/>
  <c r="K15" i="7"/>
  <c r="I14" i="6"/>
  <c r="O30" i="7"/>
  <c r="O30" i="6"/>
  <c r="M12" i="6"/>
  <c r="I86" i="4"/>
  <c r="J47" i="4"/>
  <c r="K188" i="4"/>
  <c r="D235" i="3"/>
  <c r="D239" i="3"/>
  <c r="D172" i="3"/>
  <c r="O22" i="6"/>
  <c r="P22" i="6" s="1"/>
  <c r="K126" i="4"/>
  <c r="I188" i="4"/>
  <c r="K23" i="7"/>
  <c r="D435" i="3"/>
  <c r="H14" i="7"/>
  <c r="G220" i="3"/>
  <c r="G15" i="7"/>
  <c r="E4" i="3"/>
  <c r="E8" i="3" s="1"/>
  <c r="G158" i="3"/>
  <c r="G162" i="3"/>
  <c r="M19" i="6"/>
  <c r="N15" i="7"/>
  <c r="F605" i="3"/>
  <c r="F601" i="3"/>
  <c r="G602" i="3"/>
  <c r="L25" i="6"/>
  <c r="F32" i="3"/>
  <c r="F193" i="3"/>
  <c r="E603" i="3"/>
  <c r="G19" i="7"/>
  <c r="F602" i="3"/>
  <c r="F11" i="7"/>
  <c r="G14" i="7"/>
  <c r="D220" i="3"/>
  <c r="L15" i="7"/>
  <c r="G218" i="3"/>
  <c r="H14" i="6"/>
  <c r="G35" i="3"/>
  <c r="H19" i="7"/>
  <c r="F20" i="6"/>
  <c r="N25" i="6"/>
  <c r="F603" i="3"/>
  <c r="K14" i="6"/>
  <c r="E601" i="3"/>
  <c r="D604" i="3"/>
  <c r="E602" i="3"/>
  <c r="G124" i="3"/>
  <c r="D8" i="3"/>
  <c r="F604" i="3"/>
  <c r="G601" i="3"/>
  <c r="M11" i="7" s="1"/>
  <c r="M15" i="7"/>
  <c r="F218" i="3"/>
  <c r="F36" i="3"/>
  <c r="N19" i="7"/>
  <c r="H25" i="6"/>
  <c r="N19" i="6"/>
  <c r="G21" i="6"/>
  <c r="H21" i="6"/>
  <c r="H19" i="6"/>
  <c r="J25" i="6"/>
  <c r="J13" i="6"/>
  <c r="L21" i="7"/>
  <c r="M21" i="6"/>
  <c r="E15" i="7"/>
  <c r="O15" i="7" s="1"/>
  <c r="P15" i="7" s="1"/>
  <c r="F14" i="7"/>
  <c r="K21" i="7"/>
  <c r="E25" i="6"/>
  <c r="F15" i="7"/>
  <c r="E220" i="3"/>
  <c r="G15" i="6" s="1"/>
  <c r="E219" i="3"/>
  <c r="F550" i="3"/>
  <c r="J14" i="6"/>
  <c r="H15" i="7"/>
  <c r="K14" i="7"/>
  <c r="D193" i="3"/>
  <c r="F33" i="3"/>
  <c r="E158" i="3"/>
  <c r="E162" i="3"/>
  <c r="G515" i="3"/>
  <c r="O24" i="7"/>
  <c r="J11" i="7"/>
  <c r="H21" i="7"/>
  <c r="K29" i="6"/>
  <c r="G14" i="6"/>
  <c r="I15" i="6"/>
  <c r="I15" i="7"/>
  <c r="M15" i="6"/>
  <c r="M29" i="7"/>
  <c r="O29" i="7" s="1"/>
  <c r="P29" i="7" s="1"/>
  <c r="O36" i="6"/>
  <c r="M19" i="7"/>
  <c r="O37" i="6"/>
  <c r="K11" i="6"/>
  <c r="J11" i="6"/>
  <c r="O18" i="7"/>
  <c r="P18" i="7" s="1"/>
  <c r="O18" i="6"/>
  <c r="O12" i="6"/>
  <c r="P12" i="6" s="1"/>
  <c r="O34" i="6"/>
  <c r="P34" i="6" s="1"/>
  <c r="H11" i="6"/>
  <c r="F219" i="3"/>
  <c r="F10" i="6"/>
  <c r="O10" i="6" s="1"/>
  <c r="P10" i="6" s="1"/>
  <c r="O12" i="7"/>
  <c r="P12" i="7" s="1"/>
  <c r="K29" i="7"/>
  <c r="J19" i="6"/>
  <c r="O17" i="7"/>
  <c r="O36" i="7"/>
  <c r="P36" i="7"/>
  <c r="J19" i="7"/>
  <c r="K19" i="6"/>
  <c r="O9" i="6"/>
  <c r="P9" i="6"/>
  <c r="O20" i="7"/>
  <c r="P20" i="7"/>
  <c r="G118" i="3"/>
  <c r="H15" i="6"/>
  <c r="F8" i="3"/>
  <c r="E15" i="6"/>
  <c r="E21" i="7"/>
  <c r="O21" i="7" s="1"/>
  <c r="P21" i="7" s="1"/>
  <c r="E21" i="6"/>
  <c r="F239" i="3"/>
  <c r="G239" i="3"/>
  <c r="J15" i="6"/>
  <c r="N15" i="6"/>
  <c r="G11" i="6"/>
  <c r="F15" i="6"/>
  <c r="I21" i="7"/>
  <c r="J13" i="7"/>
  <c r="J15" i="7"/>
  <c r="K15" i="6"/>
  <c r="K21" i="6"/>
  <c r="O13" i="6"/>
  <c r="P13" i="6" s="1"/>
  <c r="N21" i="6"/>
  <c r="G21" i="7"/>
  <c r="I25" i="7"/>
  <c r="E118" i="3"/>
  <c r="D601" i="3"/>
  <c r="J14" i="7"/>
  <c r="G34" i="3"/>
  <c r="E25" i="7"/>
  <c r="O25" i="7" s="1"/>
  <c r="P25" i="7" s="1"/>
  <c r="E604" i="3"/>
  <c r="M29" i="6" s="1"/>
  <c r="O29" i="6" s="1"/>
  <c r="P29" i="6" s="1"/>
  <c r="N25" i="7"/>
  <c r="F14" i="6"/>
  <c r="F31" i="3"/>
  <c r="F35" i="3"/>
  <c r="D603" i="3"/>
  <c r="K23" i="6"/>
  <c r="E605" i="3"/>
  <c r="G36" i="3"/>
  <c r="H25" i="7"/>
  <c r="F162" i="3"/>
  <c r="N14" i="7"/>
  <c r="N21" i="7"/>
  <c r="O14" i="6"/>
  <c r="P14" i="6" s="1"/>
  <c r="H209" i="4" l="1"/>
  <c r="K25" i="4"/>
  <c r="K209" i="4" s="1"/>
  <c r="G106" i="4"/>
  <c r="M47" i="4"/>
  <c r="E126" i="4"/>
  <c r="L126" i="4"/>
  <c r="G169" i="4"/>
  <c r="L209" i="4"/>
  <c r="O15" i="6"/>
  <c r="P15" i="6" s="1"/>
  <c r="L66" i="4"/>
  <c r="N47" i="4"/>
  <c r="P37" i="6"/>
  <c r="O13" i="7"/>
  <c r="P13" i="7" s="1"/>
  <c r="I14" i="7"/>
  <c r="O32" i="7"/>
  <c r="P32" i="7" s="1"/>
  <c r="I106" i="4"/>
  <c r="E106" i="4"/>
  <c r="F86" i="4"/>
  <c r="I126" i="4"/>
  <c r="I209" i="4" s="1"/>
  <c r="I148" i="4"/>
  <c r="E169" i="4"/>
  <c r="J188" i="4"/>
  <c r="J209" i="4" s="1"/>
  <c r="O27" i="7"/>
  <c r="P27" i="7" s="1"/>
  <c r="P24" i="6"/>
  <c r="E208" i="4"/>
  <c r="P17" i="7"/>
  <c r="M86" i="4"/>
  <c r="M209" i="4" s="1"/>
  <c r="E66" i="4"/>
  <c r="L47" i="4"/>
  <c r="O25" i="6"/>
  <c r="P25" i="6" s="1"/>
  <c r="M11" i="6"/>
  <c r="O11" i="6" s="1"/>
  <c r="P11" i="6" s="1"/>
  <c r="G25" i="4"/>
  <c r="J25" i="4"/>
  <c r="N106" i="4"/>
  <c r="N209" i="4" s="1"/>
  <c r="P24" i="7"/>
  <c r="O32" i="6"/>
  <c r="P32" i="6" s="1"/>
  <c r="G208" i="4"/>
  <c r="P18" i="6"/>
  <c r="O26" i="7"/>
  <c r="P26" i="7" s="1"/>
  <c r="H106" i="4"/>
  <c r="J86" i="4"/>
  <c r="H86" i="4"/>
  <c r="H66" i="4"/>
  <c r="G66" i="4"/>
  <c r="J126" i="4"/>
  <c r="J169" i="4"/>
  <c r="F188" i="4"/>
  <c r="F209" i="4" s="1"/>
  <c r="O19" i="7"/>
  <c r="P19" i="7" s="1"/>
  <c r="K11" i="7"/>
  <c r="O11" i="7" s="1"/>
  <c r="P11" i="7" s="1"/>
  <c r="O20" i="6"/>
  <c r="P20" i="6" s="1"/>
  <c r="P30" i="6"/>
  <c r="P30" i="7"/>
  <c r="P36" i="6"/>
  <c r="E14" i="7"/>
  <c r="E239" i="3"/>
  <c r="I212" i="4" l="1"/>
  <c r="D210" i="4"/>
  <c r="J210" i="4" s="1"/>
  <c r="F212" i="4"/>
  <c r="F210" i="4"/>
  <c r="J212" i="4"/>
  <c r="E209" i="4"/>
  <c r="H210" i="4"/>
  <c r="H212" i="4"/>
  <c r="G209" i="4"/>
  <c r="O14" i="7"/>
  <c r="P14" i="7" s="1"/>
  <c r="E212" i="4" l="1"/>
  <c r="C210" i="4"/>
  <c r="I210" i="4" s="1"/>
  <c r="G212" i="4"/>
  <c r="G210" i="4"/>
  <c r="E210" i="4" l="1"/>
</calcChain>
</file>

<file path=xl/sharedStrings.xml><?xml version="1.0" encoding="utf-8"?>
<sst xmlns="http://schemas.openxmlformats.org/spreadsheetml/2006/main" count="2605" uniqueCount="637">
  <si>
    <t>сыр</t>
  </si>
  <si>
    <t>завтрак</t>
  </si>
  <si>
    <t>2й завтрак</t>
  </si>
  <si>
    <t>обед</t>
  </si>
  <si>
    <t>полдник</t>
  </si>
  <si>
    <t>6-й день</t>
  </si>
  <si>
    <t>7-й день</t>
  </si>
  <si>
    <t>8-й день</t>
  </si>
  <si>
    <t>9-й день</t>
  </si>
  <si>
    <t>10-й день</t>
  </si>
  <si>
    <t>1-й день</t>
  </si>
  <si>
    <t>2-й день</t>
  </si>
  <si>
    <t>3-й день</t>
  </si>
  <si>
    <t>4-й день</t>
  </si>
  <si>
    <t>5-й день</t>
  </si>
  <si>
    <t>№ п/п</t>
  </si>
  <si>
    <t>Наименование продуктов</t>
  </si>
  <si>
    <t>Хлеб ржаной</t>
  </si>
  <si>
    <t>гр.</t>
  </si>
  <si>
    <t>Хлеб в/сорт</t>
  </si>
  <si>
    <t>Мука пшеничная</t>
  </si>
  <si>
    <t>Мука картофельная(крахмал)</t>
  </si>
  <si>
    <t>Крупа, бобовые</t>
  </si>
  <si>
    <t>Овощи свеж, зелень</t>
  </si>
  <si>
    <t>Фрукты свежие</t>
  </si>
  <si>
    <t>Фрукты сухие</t>
  </si>
  <si>
    <t>Кондит.изделия</t>
  </si>
  <si>
    <t>Сахар</t>
  </si>
  <si>
    <t>Масло сливочное</t>
  </si>
  <si>
    <t>Масло растительное</t>
  </si>
  <si>
    <t>Чай в/с</t>
  </si>
  <si>
    <t>Рыба свеж, сельдь сол</t>
  </si>
  <si>
    <t>Молоко</t>
  </si>
  <si>
    <t>Творог, творожки</t>
  </si>
  <si>
    <t>Сметана</t>
  </si>
  <si>
    <t>Сыр твер., колбасный</t>
  </si>
  <si>
    <t>Яйцо</t>
  </si>
  <si>
    <t>шт</t>
  </si>
  <si>
    <t>Кофе злаковый, какао</t>
  </si>
  <si>
    <t>Соль</t>
  </si>
  <si>
    <t>Дрожжи</t>
  </si>
  <si>
    <t>Птица</t>
  </si>
  <si>
    <t>Соки</t>
  </si>
  <si>
    <t>л</t>
  </si>
  <si>
    <t>Напитки витаминизированные (готовый напиток)</t>
  </si>
  <si>
    <t>Макаронный изделия</t>
  </si>
  <si>
    <t>нетто</t>
  </si>
  <si>
    <t>сок</t>
  </si>
  <si>
    <t>хлеб в/с</t>
  </si>
  <si>
    <t xml:space="preserve">хлеб </t>
  </si>
  <si>
    <t>Чай с молоком</t>
  </si>
  <si>
    <t>молоко</t>
  </si>
  <si>
    <t>хлеб</t>
  </si>
  <si>
    <t>Какао с молоком</t>
  </si>
  <si>
    <t>вода</t>
  </si>
  <si>
    <t>сахар</t>
  </si>
  <si>
    <t>соль</t>
  </si>
  <si>
    <t>масло слив</t>
  </si>
  <si>
    <t>коф напит</t>
  </si>
  <si>
    <t>150/180</t>
  </si>
  <si>
    <t>лук репчатый</t>
  </si>
  <si>
    <t>масло раст</t>
  </si>
  <si>
    <t>морковь</t>
  </si>
  <si>
    <t>бульон</t>
  </si>
  <si>
    <t>Соус</t>
  </si>
  <si>
    <t>сметана</t>
  </si>
  <si>
    <t>мука</t>
  </si>
  <si>
    <t>вода или отвар</t>
  </si>
  <si>
    <t>курага</t>
  </si>
  <si>
    <t>1-3года</t>
  </si>
  <si>
    <t>3-7лет</t>
  </si>
  <si>
    <t>Кофейный напиток</t>
  </si>
  <si>
    <t>Хлеб в/с</t>
  </si>
  <si>
    <t>говядина</t>
  </si>
  <si>
    <t xml:space="preserve">Наименование </t>
  </si>
  <si>
    <t>блюда</t>
  </si>
  <si>
    <t>Выход</t>
  </si>
  <si>
    <t>Б</t>
  </si>
  <si>
    <t>Ж</t>
  </si>
  <si>
    <t>У</t>
  </si>
  <si>
    <t>Витамин С</t>
  </si>
  <si>
    <t>Завтрак</t>
  </si>
  <si>
    <t>Сыр</t>
  </si>
  <si>
    <t>2-й завтрак</t>
  </si>
  <si>
    <t>Сок</t>
  </si>
  <si>
    <t>Обед</t>
  </si>
  <si>
    <t>Полдник</t>
  </si>
  <si>
    <t>60/60</t>
  </si>
  <si>
    <t xml:space="preserve">день 1-й </t>
  </si>
  <si>
    <t xml:space="preserve">день 2-й </t>
  </si>
  <si>
    <t>Итого:</t>
  </si>
  <si>
    <t>брутто</t>
  </si>
  <si>
    <t>творог</t>
  </si>
  <si>
    <t>крупа манная</t>
  </si>
  <si>
    <t>яйцо</t>
  </si>
  <si>
    <t>сухари</t>
  </si>
  <si>
    <t xml:space="preserve">день 3-й </t>
  </si>
  <si>
    <t>Каша молочная манная</t>
  </si>
  <si>
    <t>Пюре картофельное</t>
  </si>
  <si>
    <t xml:space="preserve">день 4-й </t>
  </si>
  <si>
    <t>Омлет с сыром</t>
  </si>
  <si>
    <t>Пищевые вещества (г)</t>
  </si>
  <si>
    <t>Запеканка   из творога</t>
  </si>
  <si>
    <t>масло растительное</t>
  </si>
  <si>
    <t>свекла</t>
  </si>
  <si>
    <t>томат паста</t>
  </si>
  <si>
    <t>хлеб 2/с</t>
  </si>
  <si>
    <t xml:space="preserve">Хлеб </t>
  </si>
  <si>
    <t>крупа рисовая</t>
  </si>
  <si>
    <t>мука пшеничная</t>
  </si>
  <si>
    <t xml:space="preserve">день 5-й </t>
  </si>
  <si>
    <t>60/15</t>
  </si>
  <si>
    <t>Голубцы ленивые</t>
  </si>
  <si>
    <t>80/30</t>
  </si>
  <si>
    <t>молоко цельное</t>
  </si>
  <si>
    <t xml:space="preserve">Фрукт </t>
  </si>
  <si>
    <t>Наименование блюда</t>
  </si>
  <si>
    <t xml:space="preserve">день 6-й </t>
  </si>
  <si>
    <t xml:space="preserve">день 7-й </t>
  </si>
  <si>
    <t xml:space="preserve">день 8-й </t>
  </si>
  <si>
    <t xml:space="preserve">день 9-й </t>
  </si>
  <si>
    <t>яйца</t>
  </si>
  <si>
    <t>или молоко сухое</t>
  </si>
  <si>
    <t>минтай неразд</t>
  </si>
  <si>
    <t>треска потр без головы</t>
  </si>
  <si>
    <t>крахмал</t>
  </si>
  <si>
    <t>печень говяжья</t>
  </si>
  <si>
    <t>Шницель рыбный</t>
  </si>
  <si>
    <t xml:space="preserve">день 10-й </t>
  </si>
  <si>
    <t>Салат из свежих огурцов</t>
  </si>
  <si>
    <t>Суп с рыбными консервами</t>
  </si>
  <si>
    <t>№ р-ры</t>
  </si>
  <si>
    <t>огурцы соленые</t>
  </si>
  <si>
    <t>выход</t>
  </si>
  <si>
    <t>капуста свежая</t>
  </si>
  <si>
    <t>или сухое</t>
  </si>
  <si>
    <t>масло сливочное</t>
  </si>
  <si>
    <t>мясо говядина</t>
  </si>
  <si>
    <t>макаронные изделия</t>
  </si>
  <si>
    <t>хлеб ржаной</t>
  </si>
  <si>
    <t>дрожжи</t>
  </si>
  <si>
    <t>горошек зеленый</t>
  </si>
  <si>
    <t>ванилин</t>
  </si>
  <si>
    <t>кислота лимонная</t>
  </si>
  <si>
    <t>масло раст.</t>
  </si>
  <si>
    <t xml:space="preserve">Меню разработано по сборнику рецептурных блюд и кулинарных изделий для питания детей в </t>
  </si>
  <si>
    <t>дошкольных организациях. Руководители разработки сборника: Могильный М.П. Тутельян В.А.</t>
  </si>
  <si>
    <t>Напиток из плодов шиповника</t>
  </si>
  <si>
    <t>Фрукт</t>
  </si>
  <si>
    <t>120/5</t>
  </si>
  <si>
    <t xml:space="preserve">Картофель свеж </t>
  </si>
  <si>
    <t>Итого среднее значение за весь период</t>
  </si>
  <si>
    <t>Рекомендуемые значения</t>
  </si>
  <si>
    <t>мука на подпыл</t>
  </si>
  <si>
    <t>или куриные окорочка</t>
  </si>
  <si>
    <t>Хлеб пшеничный</t>
  </si>
  <si>
    <t>Кисломолочный продукт</t>
  </si>
  <si>
    <t>Сельдь порциями</t>
  </si>
  <si>
    <t>ясли</t>
  </si>
  <si>
    <t>сад</t>
  </si>
  <si>
    <t>Энергетическая ценность (ккал)</t>
  </si>
  <si>
    <t>прием пищи</t>
  </si>
  <si>
    <t>Хлеб ржаной (ржано-пшеничный)</t>
  </si>
  <si>
    <t>картофель  1сентябрь</t>
  </si>
  <si>
    <t>картофель 1ноябрь</t>
  </si>
  <si>
    <t>картофель 1января</t>
  </si>
  <si>
    <t>картофель 1марта</t>
  </si>
  <si>
    <t>200/10</t>
  </si>
  <si>
    <t>Вафли</t>
  </si>
  <si>
    <t>геркулес</t>
  </si>
  <si>
    <t>фрукт</t>
  </si>
  <si>
    <t>петрушка</t>
  </si>
  <si>
    <t>яблоки свежие</t>
  </si>
  <si>
    <t xml:space="preserve">     день 1-й </t>
  </si>
  <si>
    <t xml:space="preserve">      день 2-й </t>
  </si>
  <si>
    <t xml:space="preserve">      день 3-й </t>
  </si>
  <si>
    <t xml:space="preserve">      день 4-й </t>
  </si>
  <si>
    <t xml:space="preserve">     день 5-й </t>
  </si>
  <si>
    <t xml:space="preserve">    день 6-й </t>
  </si>
  <si>
    <t xml:space="preserve">     день 7-й </t>
  </si>
  <si>
    <t xml:space="preserve">      день 9-й </t>
  </si>
  <si>
    <t xml:space="preserve">      день 10-й </t>
  </si>
  <si>
    <t>масса полуфабриката</t>
  </si>
  <si>
    <t>кисломолочный продукт</t>
  </si>
  <si>
    <t>хлеб пшеничный</t>
  </si>
  <si>
    <t>молоко или вода</t>
  </si>
  <si>
    <t>Чай с мармеладом</t>
  </si>
  <si>
    <t xml:space="preserve">мясо птицы филе </t>
  </si>
  <si>
    <t>60/80</t>
  </si>
  <si>
    <t>№ с/р</t>
  </si>
  <si>
    <t>т10</t>
  </si>
  <si>
    <t>Молоко и кисломолочные продукты</t>
  </si>
  <si>
    <t xml:space="preserve">Фрукт  </t>
  </si>
  <si>
    <t>Гуляш из отварной говядины</t>
  </si>
  <si>
    <t>масло сливочное на полив</t>
  </si>
  <si>
    <t>100/100</t>
  </si>
  <si>
    <t>30/30</t>
  </si>
  <si>
    <t>п/ф 71/94</t>
  </si>
  <si>
    <t>картофель молодой до1.09</t>
  </si>
  <si>
    <t>Тефтели рыбные тушеные с соусом</t>
  </si>
  <si>
    <t>лук зеленый</t>
  </si>
  <si>
    <t>куры</t>
  </si>
  <si>
    <t>Суп-лапша домашняя</t>
  </si>
  <si>
    <t>я</t>
  </si>
  <si>
    <t>с</t>
  </si>
  <si>
    <t>200</t>
  </si>
  <si>
    <t>25</t>
  </si>
  <si>
    <t>200/10/10</t>
  </si>
  <si>
    <t>250/10/10</t>
  </si>
  <si>
    <t>№ рецептуры</t>
  </si>
  <si>
    <t>Коэффициент пересчета</t>
  </si>
  <si>
    <t>капуста белокочанная</t>
  </si>
  <si>
    <t>Соки овощные, фруктовые или ягодные</t>
  </si>
  <si>
    <t>Соус молочный сладкий</t>
  </si>
  <si>
    <t>Суп карт с бобовыми</t>
  </si>
  <si>
    <t>Запеканка из печени</t>
  </si>
  <si>
    <t>Бутерброд с сыром и маслом</t>
  </si>
  <si>
    <t>Салат карт.с зел.горошком</t>
  </si>
  <si>
    <t>Капуста тушеная</t>
  </si>
  <si>
    <t>Пудинг из творога</t>
  </si>
  <si>
    <t>Мясо тушеное с овощами</t>
  </si>
  <si>
    <t>вода для сухого молока</t>
  </si>
  <si>
    <t>Птица, тушенная в соусе</t>
  </si>
  <si>
    <t>или филе птицы</t>
  </si>
  <si>
    <t>соус сметанный</t>
  </si>
  <si>
    <t>кета потр с головой</t>
  </si>
  <si>
    <t>Кисель из плодов свежих</t>
  </si>
  <si>
    <t>масло на полив</t>
  </si>
  <si>
    <t>120/5   160/5</t>
  </si>
  <si>
    <t>п/ф141/188</t>
  </si>
  <si>
    <t>какао порошок</t>
  </si>
  <si>
    <t>горох лущеный</t>
  </si>
  <si>
    <t>корица молотая</t>
  </si>
  <si>
    <t>лапша домашняя №118</t>
  </si>
  <si>
    <t>масса отварной лапши</t>
  </si>
  <si>
    <t>или треска потр без головы</t>
  </si>
  <si>
    <t>или минтай неразд</t>
  </si>
  <si>
    <t>Котлета мясная</t>
  </si>
  <si>
    <t>Птица отварная</t>
  </si>
  <si>
    <t>сельдь</t>
  </si>
  <si>
    <t>52</t>
  </si>
  <si>
    <t>Суп картоф.с мясными фрикадельками</t>
  </si>
  <si>
    <t>изюм</t>
  </si>
  <si>
    <t xml:space="preserve">     день 8-й </t>
  </si>
  <si>
    <t>масса отварного мяса</t>
  </si>
  <si>
    <t>зеленый горошек</t>
  </si>
  <si>
    <t>Кисель из плодов или ягод свежих</t>
  </si>
  <si>
    <t>или вишня</t>
  </si>
  <si>
    <t>масса припущенного лука с маслом</t>
  </si>
  <si>
    <t xml:space="preserve">соус </t>
  </si>
  <si>
    <t>Борщ с картофелем</t>
  </si>
  <si>
    <t>кабачки</t>
  </si>
  <si>
    <t>30/150  40/190</t>
  </si>
  <si>
    <t xml:space="preserve">Компот из сушеных фруктов (кураги) </t>
  </si>
  <si>
    <t>0</t>
  </si>
  <si>
    <t xml:space="preserve">Запеканка из творога </t>
  </si>
  <si>
    <t>80/80</t>
  </si>
  <si>
    <t>Икра кабачковая</t>
  </si>
  <si>
    <t>Чай с сахаром</t>
  </si>
  <si>
    <t>Компот из свежих фруктов</t>
  </si>
  <si>
    <t>Макаронные изд отварные</t>
  </si>
  <si>
    <t>Рассольник домашний</t>
  </si>
  <si>
    <t>томатная паста</t>
  </si>
  <si>
    <t>Каша рассыпчатая гречневая</t>
  </si>
  <si>
    <t>Соус яблочный</t>
  </si>
  <si>
    <t>вода  или бульон</t>
  </si>
  <si>
    <t>или кета потр с гол</t>
  </si>
  <si>
    <t>соус</t>
  </si>
  <si>
    <t>чай  высшего или 1-го сорта (сухой )</t>
  </si>
  <si>
    <t>Комот из сушеных фруктов(чернослив)</t>
  </si>
  <si>
    <t>Субпродукты</t>
  </si>
  <si>
    <t>Субпродукты (печень)</t>
  </si>
  <si>
    <t>Молоко кипяченое</t>
  </si>
  <si>
    <t>Комот из сушеных фруктов(курага)</t>
  </si>
  <si>
    <t>150/5</t>
  </si>
  <si>
    <t>180/5</t>
  </si>
  <si>
    <t xml:space="preserve">Сырники из творога </t>
  </si>
  <si>
    <t>т-6</t>
  </si>
  <si>
    <t>24/10/5       30/10/5</t>
  </si>
  <si>
    <t>Щи из св капусты с картофелем</t>
  </si>
  <si>
    <t>Компот из сушеных фруктов</t>
  </si>
  <si>
    <t>Винигрет овощной</t>
  </si>
  <si>
    <t>Булочка ванильная</t>
  </si>
  <si>
    <t>Батон нарезной</t>
  </si>
  <si>
    <t xml:space="preserve">батон </t>
  </si>
  <si>
    <t>помидоры свежие</t>
  </si>
  <si>
    <t>54-6т-2020</t>
  </si>
  <si>
    <t>111/2</t>
  </si>
  <si>
    <t>Чай с лимоном</t>
  </si>
  <si>
    <t>Суп молочный с макронными изделиями</t>
  </si>
  <si>
    <t>Салат из свеклы с сыром</t>
  </si>
  <si>
    <t>печенье</t>
  </si>
  <si>
    <t>лимон</t>
  </si>
  <si>
    <t>чай заварка</t>
  </si>
  <si>
    <t xml:space="preserve">вода </t>
  </si>
  <si>
    <t>т-10</t>
  </si>
  <si>
    <t xml:space="preserve">Икра  морковная </t>
  </si>
  <si>
    <t>2022г</t>
  </si>
  <si>
    <t>плоды шиповника</t>
  </si>
  <si>
    <t>29</t>
  </si>
  <si>
    <t>Печенье</t>
  </si>
  <si>
    <t>огурцы свежие</t>
  </si>
  <si>
    <t>39</t>
  </si>
  <si>
    <t>45</t>
  </si>
  <si>
    <t>Возрастная категория с1-3 лет; 3-7 лет  на 10,5 часов  85%   на 2022год</t>
  </si>
  <si>
    <t>Возрастная категория с 1-3года; 3-7лет  85%   на 2022 год</t>
  </si>
  <si>
    <t>Йогурт</t>
  </si>
  <si>
    <t>Икра баклажанная</t>
  </si>
  <si>
    <t>Суп с рыбными фрикадельками</t>
  </si>
  <si>
    <t xml:space="preserve">Ватрушки </t>
  </si>
  <si>
    <t>Бефстроганов из отварного мяса</t>
  </si>
  <si>
    <t>Каша жидкая (рисовая)</t>
  </si>
  <si>
    <t>Салат из свежих помидор</t>
  </si>
  <si>
    <t>Бульон из кур с гренками и яйцом</t>
  </si>
  <si>
    <t>365/2</t>
  </si>
  <si>
    <t>Говядина тушенная с капустой</t>
  </si>
  <si>
    <t>Запеканка картофельная с печенью</t>
  </si>
  <si>
    <t>Омлет с зеленым горошком</t>
  </si>
  <si>
    <t>Бутерброд с повидлом</t>
  </si>
  <si>
    <t>Салат из овощей с морской капусты</t>
  </si>
  <si>
    <t>Рагу из овощей</t>
  </si>
  <si>
    <t>54-9г</t>
  </si>
  <si>
    <t>Плов из отварной говядины</t>
  </si>
  <si>
    <t>Рыба запеченная с картофелем</t>
  </si>
  <si>
    <t>Суп молочный с крупой (пшено)</t>
  </si>
  <si>
    <t>Каша молочная гречневая</t>
  </si>
  <si>
    <t>Тефтели мясные</t>
  </si>
  <si>
    <t xml:space="preserve">Щи из свежей капусты </t>
  </si>
  <si>
    <t>Суфле куринное</t>
  </si>
  <si>
    <t>54-22м</t>
  </si>
  <si>
    <t>Борщ с фасолью и картофелем</t>
  </si>
  <si>
    <t>Каша молочная геркулесовая</t>
  </si>
  <si>
    <t>Салат из свежих помидор и огурцов</t>
  </si>
  <si>
    <t>Котлеты рубленные из птицы</t>
  </si>
  <si>
    <t>Пудинг из творога с рисом</t>
  </si>
  <si>
    <t>Каша вязкая (молочная геркулес)</t>
  </si>
  <si>
    <t>120/150</t>
  </si>
  <si>
    <t>или лук зеленый</t>
  </si>
  <si>
    <t>петрушка зелень</t>
  </si>
  <si>
    <t>капуста морская мороженная</t>
  </si>
  <si>
    <t>масоло сливочное</t>
  </si>
  <si>
    <t>крупа гречневая</t>
  </si>
  <si>
    <t>п/ф</t>
  </si>
  <si>
    <t>150    180</t>
  </si>
  <si>
    <t>овощной отвар</t>
  </si>
  <si>
    <t>Комот из сушеных фруктов</t>
  </si>
  <si>
    <t>5</t>
  </si>
  <si>
    <t>10</t>
  </si>
  <si>
    <t>590/2</t>
  </si>
  <si>
    <t>55</t>
  </si>
  <si>
    <t>370/2</t>
  </si>
  <si>
    <t>170 / 170</t>
  </si>
  <si>
    <t>24/5/5</t>
  </si>
  <si>
    <t>30/5/5</t>
  </si>
  <si>
    <t>24/5</t>
  </si>
  <si>
    <t>Ведомость контроля за рационом питания</t>
  </si>
  <si>
    <t>Омлет</t>
  </si>
  <si>
    <t>с____________________________по_______________________________</t>
  </si>
  <si>
    <t>Возрастная категория :           1-3 года</t>
  </si>
  <si>
    <t>Норма продукции в граммах г. (нетто) согласно приложения № 7</t>
  </si>
  <si>
    <t>Количество пищевой продукции в нетто по дням в граммах на одного человека</t>
  </si>
  <si>
    <t>В среднем за неделю (10 дней)</t>
  </si>
  <si>
    <t xml:space="preserve"> Отклонение  от нормы % (+ -)</t>
  </si>
  <si>
    <t>Рекомендации по корректировке меню:______________________________________________________________________________</t>
  </si>
  <si>
    <t>Подпись медицинского работника и дата    ___________________________________________________________________________</t>
  </si>
  <si>
    <t>Подпись руководителя образовательной организации и дата___________________________________________________________</t>
  </si>
  <si>
    <t>Подпись медицинского работника и дата____________________________________________________________________________</t>
  </si>
  <si>
    <t>Подпись ответственного лица за организацию питания и дата ознакомления, а также проведенной корректировки в соответствии с рекомендациями  медицинского работника  ________________________________________________________________</t>
  </si>
  <si>
    <t>30/10</t>
  </si>
  <si>
    <t>150/7/3,5</t>
  </si>
  <si>
    <t>180/10/7</t>
  </si>
  <si>
    <t>Подпись руководителя образовательной организации и дата   ___________________________________________________________</t>
  </si>
  <si>
    <t>Подпись ответственного лица за организацию питания и дата ознакомления, а также проведенной корректировки в соответствии с рекомендациями  медицинского работника _________________________________________________________________________ ____________________________________________________________________________________________________________</t>
  </si>
  <si>
    <t>Икра овощная</t>
  </si>
  <si>
    <t>Режим питания: четырехразовое           10,5 часов 85%</t>
  </si>
  <si>
    <t>Каша жидкая (ячневая)</t>
  </si>
  <si>
    <t>Суп картофельный с клецками</t>
  </si>
  <si>
    <t>Суп из овощей</t>
  </si>
  <si>
    <t xml:space="preserve">Бутерброд с сыром </t>
  </si>
  <si>
    <t>30/5</t>
  </si>
  <si>
    <t>Джем</t>
  </si>
  <si>
    <t>Пряник</t>
  </si>
  <si>
    <t>Салат картофельный с солеными огурцами</t>
  </si>
  <si>
    <t>54-16м-2020</t>
  </si>
  <si>
    <t>Печень говяжья по-строгановски</t>
  </si>
  <si>
    <t>50/30</t>
  </si>
  <si>
    <t>Бутерброд с маслом</t>
  </si>
  <si>
    <t>Суп картофельный с макаронными изделиями</t>
  </si>
  <si>
    <t>Биточки руб. из птицы</t>
  </si>
  <si>
    <t>Омлет со сметаной</t>
  </si>
  <si>
    <t>Молоко кипяченное</t>
  </si>
  <si>
    <t>Котлеты рыбные любительские</t>
  </si>
  <si>
    <t>60/5</t>
  </si>
  <si>
    <t>80/5</t>
  </si>
  <si>
    <t>Птица , тушенная с овощами</t>
  </si>
  <si>
    <t>Булочка "Веснушка"</t>
  </si>
  <si>
    <t>260/2</t>
  </si>
  <si>
    <t>Каша "Дружба"</t>
  </si>
  <si>
    <t>Бутерброд с джемом</t>
  </si>
  <si>
    <t>30/5/20</t>
  </si>
  <si>
    <t>Чай без сахара</t>
  </si>
  <si>
    <t>Салат из кукурузы (консервированной)</t>
  </si>
  <si>
    <t>Рассольник на мясном бульоне</t>
  </si>
  <si>
    <t>Плов из птицы</t>
  </si>
  <si>
    <t>Суп картофельный с мясными фрикадельками</t>
  </si>
  <si>
    <t>Котлеты рублонные из кур запеченные с соусом молочным</t>
  </si>
  <si>
    <t>Каша вязкая гречневая</t>
  </si>
  <si>
    <t>Кисель из сока</t>
  </si>
  <si>
    <t>Вареники ленивые</t>
  </si>
  <si>
    <t>Чай с медом</t>
  </si>
  <si>
    <t>Салат из морской капусты</t>
  </si>
  <si>
    <t>Салат из овощей с морской капустой</t>
  </si>
  <si>
    <t>Шницель рыбный натуральный</t>
  </si>
  <si>
    <t>Картофель отварной</t>
  </si>
  <si>
    <t>Компот из свежих плодов</t>
  </si>
  <si>
    <t>Макаронник с мясом</t>
  </si>
  <si>
    <t>Песочник с изюмом</t>
  </si>
  <si>
    <t>Запеканка из творога</t>
  </si>
  <si>
    <t>Салат из горошка зеленого консервированного</t>
  </si>
  <si>
    <t>Тефтеля мясная</t>
  </si>
  <si>
    <t>Омлет натуральный</t>
  </si>
  <si>
    <t>Рыба, запеченная с морковью</t>
  </si>
  <si>
    <t>Макароны запеченные с яйцом</t>
  </si>
  <si>
    <t>Пирожки печеные из дрожживого теста</t>
  </si>
  <si>
    <t>Каша  молочная геркулес</t>
  </si>
  <si>
    <t>Каша пшенная жидкая</t>
  </si>
  <si>
    <t>100/5</t>
  </si>
  <si>
    <t>150/7</t>
  </si>
  <si>
    <t>180/10</t>
  </si>
  <si>
    <t>Огурец свежий</t>
  </si>
  <si>
    <t>Салат из св.помидор и огурцов</t>
  </si>
  <si>
    <t>Салат из свеклы</t>
  </si>
  <si>
    <t>Салат из зеленого горошка</t>
  </si>
  <si>
    <t>250/10</t>
  </si>
  <si>
    <t>Щи из свежей капусты</t>
  </si>
  <si>
    <t>Бефстроганов</t>
  </si>
  <si>
    <t>Жаркое по-домашнему</t>
  </si>
  <si>
    <t>50/110</t>
  </si>
  <si>
    <t>60/140</t>
  </si>
  <si>
    <t>Биточки рубленые из птицы</t>
  </si>
  <si>
    <t>Картофель, тушеный в соусе</t>
  </si>
  <si>
    <t>Овощи отварные с маслом</t>
  </si>
  <si>
    <t>Запеканка картофельная с мясом</t>
  </si>
  <si>
    <t>Рыба, запеченная в сметанном соусе</t>
  </si>
  <si>
    <t>Суфле из птицы</t>
  </si>
  <si>
    <t>т-9</t>
  </si>
  <si>
    <t>Варенье</t>
  </si>
  <si>
    <t>Рис отварной</t>
  </si>
  <si>
    <t>Доктор Сойер</t>
  </si>
  <si>
    <t>180/107</t>
  </si>
  <si>
    <t>Коржики молочные</t>
  </si>
  <si>
    <t>150/15</t>
  </si>
  <si>
    <t>180/30</t>
  </si>
  <si>
    <t>100/30</t>
  </si>
  <si>
    <t>Макарон. изд. запеченные с сыром (вермишель)</t>
  </si>
  <si>
    <t>Каша молочная рисовая</t>
  </si>
  <si>
    <t>24/10/5</t>
  </si>
  <si>
    <t>30/10/5</t>
  </si>
  <si>
    <t>Кофейный напиток со сгущ. молоком</t>
  </si>
  <si>
    <t>Помидор свежий</t>
  </si>
  <si>
    <t xml:space="preserve">Икра свекольная или морковная </t>
  </si>
  <si>
    <t>Салат из кукурузы</t>
  </si>
  <si>
    <t>Бульон с птицей, гренками и яйцом</t>
  </si>
  <si>
    <t>200/10/10/40</t>
  </si>
  <si>
    <t>250/10/10/40</t>
  </si>
  <si>
    <t>Плов  из мяса птицы</t>
  </si>
  <si>
    <t>Рассольник ленинградский</t>
  </si>
  <si>
    <t>Комот из свежих плодов</t>
  </si>
  <si>
    <t>Пудинг из рыбы запеченный</t>
  </si>
  <si>
    <t>Рагу овощное</t>
  </si>
  <si>
    <t>180</t>
  </si>
  <si>
    <t>Чай с пастилой или медом</t>
  </si>
  <si>
    <t>Полоска песочная с повидлом</t>
  </si>
  <si>
    <t>Омлет с картофелем</t>
  </si>
  <si>
    <t>Батон</t>
  </si>
  <si>
    <t>24/5 30/5</t>
  </si>
  <si>
    <t>Каша вязкая (ячневая)</t>
  </si>
  <si>
    <t>крупа ячневая</t>
  </si>
  <si>
    <t>Суп карт  с клецками</t>
  </si>
  <si>
    <t>клецки</t>
  </si>
  <si>
    <t>клецки мучные</t>
  </si>
  <si>
    <t>вода или молоко</t>
  </si>
  <si>
    <t>масса теста</t>
  </si>
  <si>
    <t>рис</t>
  </si>
  <si>
    <t>масса омлетной смеси</t>
  </si>
  <si>
    <t>Соус абрикосовый</t>
  </si>
  <si>
    <t>вода для кураги</t>
  </si>
  <si>
    <t>масса бланшированного лука</t>
  </si>
  <si>
    <t>135/3</t>
  </si>
  <si>
    <t>горошек консервированный</t>
  </si>
  <si>
    <t>пряник</t>
  </si>
  <si>
    <t>Каша жидкая (манная)</t>
  </si>
  <si>
    <t>Бутерброд с сыром</t>
  </si>
  <si>
    <t>89</t>
  </si>
  <si>
    <t>Соус сметанный с луком</t>
  </si>
  <si>
    <t>Каша вязкая(гречневая)</t>
  </si>
  <si>
    <t xml:space="preserve">Икра   морковная </t>
  </si>
  <si>
    <t>68 / 91</t>
  </si>
  <si>
    <t>капуста цветная</t>
  </si>
  <si>
    <t>или груши</t>
  </si>
  <si>
    <t>50/15    100/30</t>
  </si>
  <si>
    <t>перец сладкий</t>
  </si>
  <si>
    <t>масса тушеного мяса</t>
  </si>
  <si>
    <t>репчатый лук</t>
  </si>
  <si>
    <t>лимонная кислота</t>
  </si>
  <si>
    <t>филе трески</t>
  </si>
  <si>
    <t>75  /101</t>
  </si>
  <si>
    <t>60/5  /  80/5</t>
  </si>
  <si>
    <t>мука пшеничная на подпыл</t>
  </si>
  <si>
    <t>дрожжи сухие</t>
  </si>
  <si>
    <t>крупа пшено</t>
  </si>
  <si>
    <t>кукуруза консервированная</t>
  </si>
  <si>
    <t xml:space="preserve">ясли </t>
  </si>
  <si>
    <t>Суп картоф с крупой</t>
  </si>
  <si>
    <t>крупа (перлоавая,рисовая,овсяная)</t>
  </si>
  <si>
    <t>или манная</t>
  </si>
  <si>
    <t>Рассольник  на мясном бульоне</t>
  </si>
  <si>
    <t>зелень петрушки</t>
  </si>
  <si>
    <t>масса отварных макарон</t>
  </si>
  <si>
    <t>масло растительное для смазки противня</t>
  </si>
  <si>
    <t>Пирожки печеные из дрожжевого теста</t>
  </si>
  <si>
    <t>тесто дрожжевое</t>
  </si>
  <si>
    <t>яйца для смазки пирожков</t>
  </si>
  <si>
    <t>повидло</t>
  </si>
  <si>
    <t>масло растительное(смазки листов)</t>
  </si>
  <si>
    <t>молоко кипяченное</t>
  </si>
  <si>
    <t>полуфабрикат фрикаделек</t>
  </si>
  <si>
    <t>или куринные окорочка</t>
  </si>
  <si>
    <t>60/5  /    80/5</t>
  </si>
  <si>
    <t>п/ф  78 /  103</t>
  </si>
  <si>
    <t>котлетная масса  51 / 67</t>
  </si>
  <si>
    <t>229/230</t>
  </si>
  <si>
    <t xml:space="preserve">     60/5 100/5</t>
  </si>
  <si>
    <t>п/ф вареников  57/ 95</t>
  </si>
  <si>
    <t>Мясо 1-й категории</t>
  </si>
  <si>
    <t>джем или повидло</t>
  </si>
  <si>
    <t>филе  промыш. выработки</t>
  </si>
  <si>
    <t>сухари панировочные</t>
  </si>
  <si>
    <t>120/5      160/5</t>
  </si>
  <si>
    <t>п/ф   140  /    187</t>
  </si>
  <si>
    <t>натрий двууглекислый</t>
  </si>
  <si>
    <t>орехи ядро</t>
  </si>
  <si>
    <t>горошек зеленый консервированный</t>
  </si>
  <si>
    <t>60/60   80/80</t>
  </si>
  <si>
    <t>11</t>
  </si>
  <si>
    <t>12</t>
  </si>
  <si>
    <t>полуфабрикат</t>
  </si>
  <si>
    <t>71  /    95</t>
  </si>
  <si>
    <t>фрукты сушеные</t>
  </si>
  <si>
    <t>Фрукт  /сок</t>
  </si>
  <si>
    <t xml:space="preserve">  фрукт /сок</t>
  </si>
  <si>
    <t>фасоль</t>
  </si>
  <si>
    <t>масса припущенной рыбы</t>
  </si>
  <si>
    <t>лук репчатый припущенный</t>
  </si>
  <si>
    <t>морковь припущенная</t>
  </si>
  <si>
    <t>60 /  80</t>
  </si>
  <si>
    <t>67 /  89</t>
  </si>
  <si>
    <t>яблоки свежие или груши</t>
  </si>
  <si>
    <t>масса отварнай птицы</t>
  </si>
  <si>
    <t>Каша рассыпчатая</t>
  </si>
  <si>
    <t>20/20</t>
  </si>
  <si>
    <t>105  /135</t>
  </si>
  <si>
    <t>мясо</t>
  </si>
  <si>
    <t>80/120</t>
  </si>
  <si>
    <t xml:space="preserve">Чай </t>
  </si>
  <si>
    <t xml:space="preserve">Батон </t>
  </si>
  <si>
    <t>24</t>
  </si>
  <si>
    <t>30</t>
  </si>
  <si>
    <t>Пирожки с повидлом</t>
  </si>
  <si>
    <t xml:space="preserve"> №348</t>
  </si>
  <si>
    <t>145  /   222</t>
  </si>
  <si>
    <t>Соус  томатный</t>
  </si>
  <si>
    <t>вода, бльон</t>
  </si>
  <si>
    <t>Соус №348</t>
  </si>
  <si>
    <t>90/ 30            100/30</t>
  </si>
  <si>
    <t>100/120</t>
  </si>
  <si>
    <t>130/5  /    200/5</t>
  </si>
  <si>
    <t>120/5  120/5</t>
  </si>
  <si>
    <t>11-й день</t>
  </si>
  <si>
    <t>130/150</t>
  </si>
  <si>
    <t>30/50</t>
  </si>
  <si>
    <t>12-й день</t>
  </si>
  <si>
    <t>110/130</t>
  </si>
  <si>
    <t>60/15   80/30</t>
  </si>
  <si>
    <t>13-й день</t>
  </si>
  <si>
    <t>150/10 180/10</t>
  </si>
  <si>
    <t>50/110  50/130</t>
  </si>
  <si>
    <t>14-й день</t>
  </si>
  <si>
    <r>
      <t>100/</t>
    </r>
    <r>
      <rPr>
        <sz val="10"/>
        <color indexed="10"/>
        <rFont val="Times New Roman"/>
        <family val="1"/>
        <charset val="204"/>
      </rPr>
      <t>130</t>
    </r>
  </si>
  <si>
    <t>15-й день</t>
  </si>
  <si>
    <t xml:space="preserve">     30/50</t>
  </si>
  <si>
    <r>
      <t>110/</t>
    </r>
    <r>
      <rPr>
        <sz val="10"/>
        <color indexed="10"/>
        <rFont val="Times New Roman"/>
        <family val="1"/>
        <charset val="204"/>
      </rPr>
      <t>130</t>
    </r>
  </si>
  <si>
    <t>16-й день</t>
  </si>
  <si>
    <t>150/10</t>
  </si>
  <si>
    <t xml:space="preserve">  180/10/10</t>
  </si>
  <si>
    <t>17-й день</t>
  </si>
  <si>
    <t>150/20   180/20</t>
  </si>
  <si>
    <t>Котлеты рубленные из кур запеченные с соусом молочным</t>
  </si>
  <si>
    <t>18-й день</t>
  </si>
  <si>
    <t>150/10  180/10</t>
  </si>
  <si>
    <t>50/5  80/5</t>
  </si>
  <si>
    <t>П/Ф  67,5 / 100</t>
  </si>
  <si>
    <t>19-день</t>
  </si>
  <si>
    <t>150/10   180/10</t>
  </si>
  <si>
    <t>20-днь</t>
  </si>
  <si>
    <t>150/20/10                180/20/10</t>
  </si>
  <si>
    <t>150/10/10    180/10/10</t>
  </si>
  <si>
    <t>150/10/5  180/10/10</t>
  </si>
  <si>
    <t xml:space="preserve">день 11-й </t>
  </si>
  <si>
    <t>Чай  с молоком</t>
  </si>
  <si>
    <t xml:space="preserve">день 12-й </t>
  </si>
  <si>
    <t xml:space="preserve">день 13-й </t>
  </si>
  <si>
    <t xml:space="preserve">день 14-й </t>
  </si>
  <si>
    <t xml:space="preserve">день 15-й </t>
  </si>
  <si>
    <t>3/7</t>
  </si>
  <si>
    <t xml:space="preserve">день 16-й </t>
  </si>
  <si>
    <t xml:space="preserve">день 17-й </t>
  </si>
  <si>
    <t xml:space="preserve">день 18-й </t>
  </si>
  <si>
    <t xml:space="preserve">день 19-й </t>
  </si>
  <si>
    <t xml:space="preserve">день 20-й </t>
  </si>
  <si>
    <t>чай с молоком</t>
  </si>
  <si>
    <t>60/  80</t>
  </si>
  <si>
    <t>50/50</t>
  </si>
  <si>
    <t>Сыр    5/5</t>
  </si>
  <si>
    <t>Сок   200/180</t>
  </si>
  <si>
    <t>Соки  фруктовые 200/180</t>
  </si>
  <si>
    <t>24       30/10</t>
  </si>
  <si>
    <t>160/5</t>
  </si>
  <si>
    <t xml:space="preserve">Бутерброд с сыром и маслом </t>
  </si>
  <si>
    <t>35/5</t>
  </si>
  <si>
    <t>Соки  фруктовые или ягодные</t>
  </si>
  <si>
    <t>Напиток из изюма</t>
  </si>
  <si>
    <t xml:space="preserve"> вишня</t>
  </si>
  <si>
    <t xml:space="preserve">Напиток из с/ф </t>
  </si>
  <si>
    <t>Чай</t>
  </si>
  <si>
    <t>24/30</t>
  </si>
  <si>
    <t>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</si>
</sst>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0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sz val="10"/>
      <name val="Arial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10"/>
      <name val="Arial"/>
    </font>
    <font>
      <sz val="8"/>
      <color indexed="10"/>
      <name val="Arial"/>
    </font>
    <font>
      <sz val="8"/>
      <color indexed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</font>
    <font>
      <sz val="10"/>
      <color indexed="48"/>
      <name val="Arial"/>
    </font>
    <font>
      <sz val="10"/>
      <color indexed="10"/>
      <name val="Times New Roman"/>
      <family val="1"/>
      <charset val="204"/>
    </font>
    <font>
      <sz val="10"/>
      <color indexed="57"/>
      <name val="Times New Roman"/>
      <family val="1"/>
      <charset val="204"/>
    </font>
    <font>
      <sz val="9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color indexed="12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62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2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0" xfId="0" applyFont="1" applyFill="1"/>
    <xf numFmtId="0" fontId="5" fillId="0" borderId="0" xfId="0" applyFont="1" applyFill="1"/>
    <xf numFmtId="0" fontId="9" fillId="0" borderId="0" xfId="0" applyFont="1" applyFill="1"/>
    <xf numFmtId="0" fontId="9" fillId="0" borderId="0" xfId="0" applyFont="1"/>
    <xf numFmtId="0" fontId="2" fillId="0" borderId="0" xfId="0" applyFont="1"/>
    <xf numFmtId="0" fontId="3" fillId="0" borderId="0" xfId="0" applyFont="1" applyFill="1"/>
    <xf numFmtId="0" fontId="11" fillId="0" borderId="0" xfId="0" applyFont="1" applyFill="1"/>
    <xf numFmtId="0" fontId="13" fillId="0" borderId="1" xfId="0" applyFont="1" applyFill="1" applyBorder="1"/>
    <xf numFmtId="0" fontId="9" fillId="0" borderId="2" xfId="0" applyFont="1" applyFill="1" applyBorder="1" applyAlignment="1">
      <alignment horizontal="center"/>
    </xf>
    <xf numFmtId="0" fontId="13" fillId="0" borderId="3" xfId="0" applyFont="1" applyFill="1" applyBorder="1"/>
    <xf numFmtId="0" fontId="9" fillId="0" borderId="4" xfId="0" applyFont="1" applyFill="1" applyBorder="1" applyAlignment="1">
      <alignment horizontal="center"/>
    </xf>
    <xf numFmtId="0" fontId="13" fillId="0" borderId="0" xfId="0" applyFont="1" applyFill="1" applyBorder="1"/>
    <xf numFmtId="0" fontId="9" fillId="0" borderId="5" xfId="0" applyFont="1" applyFill="1" applyBorder="1" applyAlignment="1">
      <alignment horizontal="center"/>
    </xf>
    <xf numFmtId="0" fontId="13" fillId="0" borderId="6" xfId="0" applyFont="1" applyFill="1" applyBorder="1"/>
    <xf numFmtId="0" fontId="9" fillId="0" borderId="6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3" fillId="0" borderId="7" xfId="0" applyFont="1" applyFill="1" applyBorder="1"/>
    <xf numFmtId="0" fontId="13" fillId="0" borderId="3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left"/>
    </xf>
    <xf numFmtId="49" fontId="9" fillId="0" borderId="8" xfId="0" applyNumberFormat="1" applyFont="1" applyFill="1" applyBorder="1" applyAlignment="1">
      <alignment horizontal="left"/>
    </xf>
    <xf numFmtId="0" fontId="13" fillId="0" borderId="9" xfId="0" applyFont="1" applyFill="1" applyBorder="1"/>
    <xf numFmtId="0" fontId="13" fillId="0" borderId="4" xfId="0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2" fontId="12" fillId="0" borderId="1" xfId="0" applyNumberFormat="1" applyFont="1" applyFill="1" applyBorder="1" applyAlignment="1">
      <alignment horizontal="right"/>
    </xf>
    <xf numFmtId="0" fontId="8" fillId="0" borderId="2" xfId="0" applyFont="1" applyFill="1" applyBorder="1" applyAlignment="1"/>
    <xf numFmtId="0" fontId="8" fillId="0" borderId="4" xfId="0" applyFont="1" applyFill="1" applyBorder="1"/>
    <xf numFmtId="2" fontId="12" fillId="0" borderId="3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center"/>
    </xf>
    <xf numFmtId="49" fontId="9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49" fontId="13" fillId="0" borderId="0" xfId="0" applyNumberFormat="1" applyFont="1" applyFill="1" applyAlignment="1">
      <alignment horizontal="left"/>
    </xf>
    <xf numFmtId="49" fontId="9" fillId="0" borderId="0" xfId="0" applyNumberFormat="1" applyFont="1" applyFill="1"/>
    <xf numFmtId="0" fontId="9" fillId="0" borderId="7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13" fillId="0" borderId="11" xfId="0" applyFont="1" applyFill="1" applyBorder="1"/>
    <xf numFmtId="0" fontId="12" fillId="0" borderId="3" xfId="0" applyFont="1" applyFill="1" applyBorder="1" applyAlignment="1">
      <alignment horizontal="center"/>
    </xf>
    <xf numFmtId="0" fontId="5" fillId="0" borderId="0" xfId="0" applyFont="1" applyFill="1" applyBorder="1"/>
    <xf numFmtId="0" fontId="9" fillId="0" borderId="12" xfId="0" applyFont="1" applyFill="1" applyBorder="1" applyAlignment="1">
      <alignment horizontal="center"/>
    </xf>
    <xf numFmtId="0" fontId="13" fillId="0" borderId="13" xfId="0" applyFont="1" applyFill="1" applyBorder="1"/>
    <xf numFmtId="0" fontId="13" fillId="0" borderId="13" xfId="0" applyNumberFormat="1" applyFont="1" applyFill="1" applyBorder="1" applyAlignment="1">
      <alignment horizontal="right"/>
    </xf>
    <xf numFmtId="0" fontId="13" fillId="0" borderId="14" xfId="0" applyFont="1" applyFill="1" applyBorder="1" applyAlignment="1">
      <alignment horizontal="right"/>
    </xf>
    <xf numFmtId="0" fontId="8" fillId="0" borderId="5" xfId="0" applyFont="1" applyFill="1" applyBorder="1" applyAlignment="1"/>
    <xf numFmtId="0" fontId="12" fillId="0" borderId="15" xfId="0" applyFont="1" applyFill="1" applyBorder="1" applyAlignment="1">
      <alignment horizontal="right"/>
    </xf>
    <xf numFmtId="0" fontId="3" fillId="0" borderId="0" xfId="0" applyFont="1"/>
    <xf numFmtId="0" fontId="11" fillId="0" borderId="0" xfId="0" applyFont="1"/>
    <xf numFmtId="0" fontId="7" fillId="0" borderId="0" xfId="0" applyFont="1" applyFill="1"/>
    <xf numFmtId="0" fontId="7" fillId="0" borderId="0" xfId="0" applyFont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0" fillId="0" borderId="0" xfId="0" applyFill="1" applyBorder="1"/>
    <xf numFmtId="0" fontId="9" fillId="0" borderId="16" xfId="0" applyFont="1" applyFill="1" applyBorder="1" applyAlignment="1">
      <alignment horizontal="left"/>
    </xf>
    <xf numFmtId="0" fontId="22" fillId="0" borderId="0" xfId="0" applyFont="1" applyFill="1"/>
    <xf numFmtId="164" fontId="13" fillId="0" borderId="3" xfId="0" applyNumberFormat="1" applyFont="1" applyFill="1" applyBorder="1"/>
    <xf numFmtId="164" fontId="12" fillId="0" borderId="1" xfId="0" applyNumberFormat="1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/>
    <xf numFmtId="0" fontId="13" fillId="0" borderId="17" xfId="0" applyFont="1" applyFill="1" applyBorder="1"/>
    <xf numFmtId="0" fontId="13" fillId="0" borderId="18" xfId="0" applyFont="1" applyFill="1" applyBorder="1" applyAlignment="1">
      <alignment horizontal="right"/>
    </xf>
    <xf numFmtId="0" fontId="13" fillId="0" borderId="19" xfId="0" applyFont="1" applyFill="1" applyBorder="1" applyAlignment="1">
      <alignment horizontal="center"/>
    </xf>
    <xf numFmtId="0" fontId="13" fillId="0" borderId="20" xfId="0" applyFont="1" applyFill="1" applyBorder="1"/>
    <xf numFmtId="0" fontId="13" fillId="0" borderId="17" xfId="0" applyFont="1" applyFill="1" applyBorder="1" applyAlignment="1">
      <alignment horizontal="right"/>
    </xf>
    <xf numFmtId="0" fontId="13" fillId="0" borderId="19" xfId="0" applyFont="1" applyFill="1" applyBorder="1"/>
    <xf numFmtId="0" fontId="13" fillId="0" borderId="0" xfId="0" applyFont="1" applyFill="1" applyAlignment="1">
      <alignment horizontal="right"/>
    </xf>
    <xf numFmtId="0" fontId="13" fillId="0" borderId="17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2" fillId="0" borderId="15" xfId="0" applyFont="1" applyFill="1" applyBorder="1"/>
    <xf numFmtId="2" fontId="12" fillId="0" borderId="15" xfId="0" applyNumberFormat="1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/>
    </xf>
    <xf numFmtId="0" fontId="12" fillId="0" borderId="1" xfId="0" applyFont="1" applyFill="1" applyBorder="1"/>
    <xf numFmtId="2" fontId="12" fillId="0" borderId="1" xfId="0" applyNumberFormat="1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12" fillId="0" borderId="3" xfId="0" applyFont="1" applyFill="1" applyBorder="1"/>
    <xf numFmtId="0" fontId="12" fillId="0" borderId="23" xfId="0" applyFont="1" applyFill="1" applyBorder="1" applyAlignment="1">
      <alignment horizontal="center"/>
    </xf>
    <xf numFmtId="9" fontId="13" fillId="0" borderId="11" xfId="0" applyNumberFormat="1" applyFont="1" applyFill="1" applyBorder="1"/>
    <xf numFmtId="0" fontId="13" fillId="0" borderId="24" xfId="0" applyFont="1" applyFill="1" applyBorder="1" applyAlignment="1">
      <alignment horizontal="center"/>
    </xf>
    <xf numFmtId="0" fontId="20" fillId="0" borderId="0" xfId="0" applyFont="1" applyFill="1"/>
    <xf numFmtId="0" fontId="19" fillId="0" borderId="0" xfId="0" applyFont="1"/>
    <xf numFmtId="0" fontId="23" fillId="0" borderId="0" xfId="0" applyFont="1" applyFill="1"/>
    <xf numFmtId="0" fontId="23" fillId="0" borderId="0" xfId="0" applyFont="1"/>
    <xf numFmtId="0" fontId="13" fillId="0" borderId="25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3" fillId="0" borderId="2" xfId="0" applyFont="1" applyFill="1" applyBorder="1"/>
    <xf numFmtId="164" fontId="13" fillId="0" borderId="1" xfId="0" applyNumberFormat="1" applyFont="1" applyFill="1" applyBorder="1"/>
    <xf numFmtId="164" fontId="13" fillId="0" borderId="22" xfId="0" applyNumberFormat="1" applyFont="1" applyFill="1" applyBorder="1"/>
    <xf numFmtId="0" fontId="13" fillId="0" borderId="27" xfId="0" applyFont="1" applyFill="1" applyBorder="1"/>
    <xf numFmtId="164" fontId="13" fillId="0" borderId="1" xfId="0" applyNumberFormat="1" applyFont="1" applyFill="1" applyBorder="1" applyAlignment="1">
      <alignment horizontal="right"/>
    </xf>
    <xf numFmtId="0" fontId="13" fillId="0" borderId="28" xfId="0" applyFont="1" applyFill="1" applyBorder="1"/>
    <xf numFmtId="0" fontId="13" fillId="0" borderId="29" xfId="0" applyFont="1" applyFill="1" applyBorder="1" applyAlignment="1">
      <alignment horizontal="right"/>
    </xf>
    <xf numFmtId="0" fontId="22" fillId="0" borderId="26" xfId="0" applyFont="1" applyFill="1" applyBorder="1"/>
    <xf numFmtId="0" fontId="22" fillId="0" borderId="30" xfId="0" applyFont="1" applyFill="1" applyBorder="1" applyAlignment="1"/>
    <xf numFmtId="0" fontId="12" fillId="0" borderId="31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2" fontId="12" fillId="0" borderId="31" xfId="0" applyNumberFormat="1" applyFont="1" applyFill="1" applyBorder="1" applyAlignment="1">
      <alignment horizontal="center"/>
    </xf>
    <xf numFmtId="0" fontId="12" fillId="0" borderId="33" xfId="0" applyFont="1" applyFill="1" applyBorder="1" applyAlignment="1">
      <alignment horizontal="right"/>
    </xf>
    <xf numFmtId="2" fontId="12" fillId="0" borderId="34" xfId="0" applyNumberFormat="1" applyFont="1" applyFill="1" applyBorder="1" applyAlignment="1">
      <alignment horizontal="center"/>
    </xf>
    <xf numFmtId="0" fontId="22" fillId="0" borderId="12" xfId="0" applyFont="1" applyFill="1" applyBorder="1" applyAlignment="1"/>
    <xf numFmtId="2" fontId="12" fillId="0" borderId="32" xfId="0" applyNumberFormat="1" applyFont="1" applyFill="1" applyBorder="1" applyAlignment="1">
      <alignment horizontal="center"/>
    </xf>
    <xf numFmtId="0" fontId="22" fillId="0" borderId="30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right"/>
    </xf>
    <xf numFmtId="0" fontId="6" fillId="0" borderId="36" xfId="0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right"/>
    </xf>
    <xf numFmtId="0" fontId="13" fillId="0" borderId="37" xfId="0" applyFont="1" applyFill="1" applyBorder="1"/>
    <xf numFmtId="0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13" fillId="0" borderId="3" xfId="0" applyNumberFormat="1" applyFont="1" applyFill="1" applyBorder="1" applyAlignment="1">
      <alignment horizontal="right"/>
    </xf>
    <xf numFmtId="0" fontId="9" fillId="0" borderId="38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right"/>
    </xf>
    <xf numFmtId="0" fontId="13" fillId="0" borderId="15" xfId="0" applyFont="1" applyFill="1" applyBorder="1" applyAlignment="1">
      <alignment horizontal="right"/>
    </xf>
    <xf numFmtId="2" fontId="25" fillId="0" borderId="0" xfId="0" applyNumberFormat="1" applyFont="1" applyFill="1"/>
    <xf numFmtId="2" fontId="13" fillId="0" borderId="1" xfId="0" applyNumberFormat="1" applyFont="1" applyFill="1" applyBorder="1"/>
    <xf numFmtId="0" fontId="13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39" xfId="0" applyFont="1" applyFill="1" applyBorder="1"/>
    <xf numFmtId="0" fontId="13" fillId="0" borderId="39" xfId="0" applyFont="1" applyFill="1" applyBorder="1" applyAlignment="1">
      <alignment horizontal="right"/>
    </xf>
    <xf numFmtId="49" fontId="13" fillId="0" borderId="1" xfId="0" applyNumberFormat="1" applyFont="1" applyFill="1" applyBorder="1" applyAlignment="1">
      <alignment horizontal="right"/>
    </xf>
    <xf numFmtId="0" fontId="22" fillId="0" borderId="36" xfId="0" applyFont="1" applyFill="1" applyBorder="1"/>
    <xf numFmtId="0" fontId="13" fillId="0" borderId="39" xfId="0" applyFont="1" applyFill="1" applyBorder="1" applyAlignment="1">
      <alignment horizontal="left"/>
    </xf>
    <xf numFmtId="2" fontId="8" fillId="0" borderId="33" xfId="0" applyNumberFormat="1" applyFont="1" applyFill="1" applyBorder="1" applyAlignment="1">
      <alignment horizontal="right"/>
    </xf>
    <xf numFmtId="49" fontId="9" fillId="0" borderId="3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left"/>
    </xf>
    <xf numFmtId="0" fontId="9" fillId="0" borderId="39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right"/>
    </xf>
    <xf numFmtId="49" fontId="13" fillId="0" borderId="38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center"/>
    </xf>
    <xf numFmtId="2" fontId="12" fillId="0" borderId="40" xfId="0" applyNumberFormat="1" applyFont="1" applyFill="1" applyBorder="1" applyAlignment="1">
      <alignment horizontal="center"/>
    </xf>
    <xf numFmtId="0" fontId="13" fillId="0" borderId="33" xfId="0" applyFont="1" applyFill="1" applyBorder="1"/>
    <xf numFmtId="0" fontId="12" fillId="0" borderId="33" xfId="0" applyNumberFormat="1" applyFont="1" applyFill="1" applyBorder="1" applyAlignment="1">
      <alignment horizontal="right"/>
    </xf>
    <xf numFmtId="2" fontId="12" fillId="0" borderId="33" xfId="0" applyNumberFormat="1" applyFont="1" applyFill="1" applyBorder="1" applyAlignment="1">
      <alignment horizontal="center"/>
    </xf>
    <xf numFmtId="0" fontId="7" fillId="0" borderId="31" xfId="0" applyFont="1" applyFill="1" applyBorder="1" applyAlignment="1"/>
    <xf numFmtId="0" fontId="9" fillId="0" borderId="33" xfId="0" applyFont="1" applyFill="1" applyBorder="1" applyAlignment="1">
      <alignment horizontal="right"/>
    </xf>
    <xf numFmtId="0" fontId="11" fillId="0" borderId="36" xfId="0" applyFont="1" applyFill="1" applyBorder="1"/>
    <xf numFmtId="0" fontId="11" fillId="0" borderId="12" xfId="0" applyFont="1" applyFill="1" applyBorder="1" applyAlignment="1"/>
    <xf numFmtId="0" fontId="13" fillId="0" borderId="1" xfId="0" applyFont="1" applyFill="1" applyBorder="1" applyAlignment="1"/>
    <xf numFmtId="164" fontId="13" fillId="0" borderId="1" xfId="0" applyNumberFormat="1" applyFont="1" applyFill="1" applyBorder="1" applyAlignment="1"/>
    <xf numFmtId="0" fontId="13" fillId="0" borderId="15" xfId="0" applyFont="1" applyFill="1" applyBorder="1"/>
    <xf numFmtId="164" fontId="13" fillId="0" borderId="15" xfId="0" applyNumberFormat="1" applyFont="1" applyFill="1" applyBorder="1"/>
    <xf numFmtId="0" fontId="21" fillId="0" borderId="2" xfId="0" applyFont="1" applyFill="1" applyBorder="1"/>
    <xf numFmtId="0" fontId="21" fillId="0" borderId="1" xfId="0" applyFont="1" applyFill="1" applyBorder="1"/>
    <xf numFmtId="164" fontId="13" fillId="0" borderId="2" xfId="0" applyNumberFormat="1" applyFont="1" applyFill="1" applyBorder="1"/>
    <xf numFmtId="0" fontId="13" fillId="0" borderId="2" xfId="0" applyFont="1" applyFill="1" applyBorder="1" applyAlignment="1">
      <alignment horizontal="left"/>
    </xf>
    <xf numFmtId="0" fontId="13" fillId="2" borderId="17" xfId="0" applyFont="1" applyFill="1" applyBorder="1"/>
    <xf numFmtId="0" fontId="12" fillId="2" borderId="41" xfId="0" applyFont="1" applyFill="1" applyBorder="1"/>
    <xf numFmtId="0" fontId="12" fillId="2" borderId="6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center"/>
    </xf>
    <xf numFmtId="164" fontId="13" fillId="2" borderId="12" xfId="0" applyNumberFormat="1" applyFont="1" applyFill="1" applyBorder="1" applyAlignment="1">
      <alignment horizontal="center"/>
    </xf>
    <xf numFmtId="0" fontId="13" fillId="2" borderId="14" xfId="0" applyNumberFormat="1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3" fillId="2" borderId="11" xfId="0" applyFont="1" applyFill="1" applyBorder="1"/>
    <xf numFmtId="0" fontId="13" fillId="2" borderId="9" xfId="0" applyFont="1" applyFill="1" applyBorder="1"/>
    <xf numFmtId="0" fontId="13" fillId="2" borderId="6" xfId="0" applyFont="1" applyFill="1" applyBorder="1"/>
    <xf numFmtId="0" fontId="13" fillId="2" borderId="4" xfId="0" applyFont="1" applyFill="1" applyBorder="1"/>
    <xf numFmtId="0" fontId="13" fillId="2" borderId="3" xfId="0" applyFont="1" applyFill="1" applyBorder="1" applyAlignment="1">
      <alignment horizontal="center"/>
    </xf>
    <xf numFmtId="164" fontId="13" fillId="2" borderId="3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  <xf numFmtId="0" fontId="13" fillId="2" borderId="36" xfId="0" applyFont="1" applyFill="1" applyBorder="1"/>
    <xf numFmtId="0" fontId="13" fillId="2" borderId="43" xfId="0" applyFont="1" applyFill="1" applyBorder="1" applyAlignment="1">
      <alignment horizontal="center"/>
    </xf>
    <xf numFmtId="164" fontId="13" fillId="2" borderId="31" xfId="0" applyNumberFormat="1" applyFont="1" applyFill="1" applyBorder="1" applyAlignment="1">
      <alignment horizontal="center"/>
    </xf>
    <xf numFmtId="0" fontId="13" fillId="2" borderId="32" xfId="0" applyNumberFormat="1" applyFont="1" applyFill="1" applyBorder="1" applyAlignment="1">
      <alignment horizontal="center"/>
    </xf>
    <xf numFmtId="0" fontId="13" fillId="2" borderId="42" xfId="0" applyFont="1" applyFill="1" applyBorder="1"/>
    <xf numFmtId="0" fontId="13" fillId="2" borderId="44" xfId="0" applyFont="1" applyFill="1" applyBorder="1" applyAlignment="1">
      <alignment horizontal="center"/>
    </xf>
    <xf numFmtId="0" fontId="13" fillId="2" borderId="27" xfId="0" applyFont="1" applyFill="1" applyBorder="1"/>
    <xf numFmtId="164" fontId="13" fillId="2" borderId="39" xfId="0" applyNumberFormat="1" applyFont="1" applyFill="1" applyBorder="1" applyAlignment="1">
      <alignment horizontal="center"/>
    </xf>
    <xf numFmtId="0" fontId="13" fillId="2" borderId="39" xfId="0" applyNumberFormat="1" applyFont="1" applyFill="1" applyBorder="1" applyAlignment="1">
      <alignment horizontal="center"/>
    </xf>
    <xf numFmtId="0" fontId="18" fillId="0" borderId="0" xfId="0" applyFont="1" applyBorder="1"/>
    <xf numFmtId="0" fontId="19" fillId="0" borderId="0" xfId="0" applyFont="1" applyBorder="1"/>
    <xf numFmtId="0" fontId="2" fillId="0" borderId="0" xfId="0" applyFont="1" applyBorder="1"/>
    <xf numFmtId="164" fontId="13" fillId="0" borderId="0" xfId="0" applyNumberFormat="1" applyFont="1" applyFill="1" applyBorder="1"/>
    <xf numFmtId="164" fontId="13" fillId="0" borderId="23" xfId="0" applyNumberFormat="1" applyFont="1" applyFill="1" applyBorder="1"/>
    <xf numFmtId="0" fontId="13" fillId="0" borderId="12" xfId="0" applyFont="1" applyFill="1" applyBorder="1"/>
    <xf numFmtId="164" fontId="9" fillId="0" borderId="13" xfId="0" applyNumberFormat="1" applyFont="1" applyFill="1" applyBorder="1"/>
    <xf numFmtId="164" fontId="9" fillId="0" borderId="14" xfId="0" applyNumberFormat="1" applyFont="1" applyFill="1" applyBorder="1"/>
    <xf numFmtId="0" fontId="13" fillId="2" borderId="23" xfId="0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13" fillId="0" borderId="23" xfId="0" applyFont="1" applyFill="1" applyBorder="1"/>
    <xf numFmtId="0" fontId="13" fillId="0" borderId="5" xfId="0" applyFont="1" applyFill="1" applyBorder="1"/>
    <xf numFmtId="0" fontId="13" fillId="0" borderId="35" xfId="0" applyFont="1" applyFill="1" applyBorder="1"/>
    <xf numFmtId="164" fontId="13" fillId="0" borderId="45" xfId="0" applyNumberFormat="1" applyFont="1" applyFill="1" applyBorder="1"/>
    <xf numFmtId="164" fontId="13" fillId="0" borderId="5" xfId="0" applyNumberFormat="1" applyFont="1" applyFill="1" applyBorder="1"/>
    <xf numFmtId="0" fontId="13" fillId="0" borderId="46" xfId="0" applyFont="1" applyFill="1" applyBorder="1"/>
    <xf numFmtId="164" fontId="13" fillId="0" borderId="47" xfId="0" applyNumberFormat="1" applyFont="1" applyFill="1" applyBorder="1"/>
    <xf numFmtId="164" fontId="13" fillId="0" borderId="47" xfId="0" applyNumberFormat="1" applyFont="1" applyFill="1" applyBorder="1" applyAlignment="1"/>
    <xf numFmtId="0" fontId="13" fillId="0" borderId="48" xfId="0" applyFont="1" applyFill="1" applyBorder="1"/>
    <xf numFmtId="164" fontId="13" fillId="0" borderId="42" xfId="0" applyNumberFormat="1" applyFont="1" applyFill="1" applyBorder="1"/>
    <xf numFmtId="0" fontId="27" fillId="0" borderId="0" xfId="0" applyFont="1" applyFill="1" applyBorder="1"/>
    <xf numFmtId="0" fontId="28" fillId="0" borderId="0" xfId="0" applyFont="1" applyFill="1" applyBorder="1" applyAlignment="1">
      <alignment horizontal="center"/>
    </xf>
    <xf numFmtId="164" fontId="27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/>
    <xf numFmtId="0" fontId="12" fillId="0" borderId="0" xfId="0" applyFont="1" applyFill="1" applyBorder="1" applyAlignment="1">
      <alignment horizontal="center"/>
    </xf>
    <xf numFmtId="2" fontId="13" fillId="0" borderId="0" xfId="0" applyNumberFormat="1" applyFont="1" applyFill="1"/>
    <xf numFmtId="0" fontId="9" fillId="2" borderId="49" xfId="0" applyFont="1" applyFill="1" applyBorder="1" applyAlignment="1">
      <alignment horizontal="left"/>
    </xf>
    <xf numFmtId="0" fontId="12" fillId="2" borderId="50" xfId="0" applyFont="1" applyFill="1" applyBorder="1"/>
    <xf numFmtId="0" fontId="9" fillId="2" borderId="18" xfId="0" applyFont="1" applyFill="1" applyBorder="1" applyAlignment="1">
      <alignment horizontal="left"/>
    </xf>
    <xf numFmtId="0" fontId="12" fillId="2" borderId="17" xfId="0" applyFont="1" applyFill="1" applyBorder="1"/>
    <xf numFmtId="0" fontId="9" fillId="2" borderId="17" xfId="0" applyFont="1" applyFill="1" applyBorder="1" applyAlignment="1">
      <alignment horizontal="left"/>
    </xf>
    <xf numFmtId="0" fontId="16" fillId="2" borderId="17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8" fillId="2" borderId="50" xfId="0" applyFont="1" applyFill="1" applyBorder="1" applyAlignment="1">
      <alignment horizontal="left"/>
    </xf>
    <xf numFmtId="0" fontId="8" fillId="2" borderId="51" xfId="0" applyFont="1" applyFill="1" applyBorder="1" applyAlignment="1">
      <alignment horizontal="left"/>
    </xf>
    <xf numFmtId="0" fontId="15" fillId="2" borderId="52" xfId="0" applyFont="1" applyFill="1" applyBorder="1"/>
    <xf numFmtId="0" fontId="9" fillId="2" borderId="26" xfId="0" applyFont="1" applyFill="1" applyBorder="1"/>
    <xf numFmtId="0" fontId="15" fillId="2" borderId="20" xfId="0" applyFont="1" applyFill="1" applyBorder="1"/>
    <xf numFmtId="0" fontId="9" fillId="2" borderId="36" xfId="0" applyFont="1" applyFill="1" applyBorder="1"/>
    <xf numFmtId="0" fontId="9" fillId="2" borderId="17" xfId="0" applyFont="1" applyFill="1" applyBorder="1" applyAlignment="1">
      <alignment horizontal="center"/>
    </xf>
    <xf numFmtId="0" fontId="12" fillId="2" borderId="26" xfId="0" applyFont="1" applyFill="1" applyBorder="1"/>
    <xf numFmtId="0" fontId="9" fillId="2" borderId="18" xfId="0" applyFont="1" applyFill="1" applyBorder="1" applyAlignment="1">
      <alignment horizontal="center"/>
    </xf>
    <xf numFmtId="0" fontId="13" fillId="2" borderId="29" xfId="0" applyFont="1" applyFill="1" applyBorder="1"/>
    <xf numFmtId="0" fontId="13" fillId="2" borderId="53" xfId="0" applyFont="1" applyFill="1" applyBorder="1" applyAlignment="1">
      <alignment horizontal="center"/>
    </xf>
    <xf numFmtId="0" fontId="13" fillId="0" borderId="49" xfId="0" applyFont="1" applyFill="1" applyBorder="1"/>
    <xf numFmtId="0" fontId="13" fillId="2" borderId="42" xfId="0" applyFont="1" applyFill="1" applyBorder="1" applyAlignment="1">
      <alignment horizontal="center"/>
    </xf>
    <xf numFmtId="0" fontId="13" fillId="0" borderId="43" xfId="0" applyFont="1" applyFill="1" applyBorder="1"/>
    <xf numFmtId="0" fontId="13" fillId="2" borderId="30" xfId="0" applyFont="1" applyFill="1" applyBorder="1"/>
    <xf numFmtId="0" fontId="13" fillId="2" borderId="33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right"/>
    </xf>
    <xf numFmtId="0" fontId="13" fillId="0" borderId="6" xfId="0" applyFont="1" applyFill="1" applyBorder="1" applyAlignment="1"/>
    <xf numFmtId="0" fontId="13" fillId="0" borderId="26" xfId="0" applyFont="1" applyFill="1" applyBorder="1"/>
    <xf numFmtId="0" fontId="13" fillId="0" borderId="52" xfId="0" applyFont="1" applyFill="1" applyBorder="1" applyAlignment="1">
      <alignment horizontal="right"/>
    </xf>
    <xf numFmtId="0" fontId="13" fillId="0" borderId="51" xfId="0" applyFont="1" applyFill="1" applyBorder="1" applyAlignment="1">
      <alignment horizontal="right"/>
    </xf>
    <xf numFmtId="2" fontId="13" fillId="0" borderId="6" xfId="0" applyNumberFormat="1" applyFont="1" applyFill="1" applyBorder="1"/>
    <xf numFmtId="0" fontId="13" fillId="0" borderId="54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2" fillId="0" borderId="36" xfId="0" applyFont="1" applyFill="1" applyBorder="1"/>
    <xf numFmtId="0" fontId="9" fillId="0" borderId="39" xfId="0" applyNumberFormat="1" applyFont="1" applyFill="1" applyBorder="1" applyAlignment="1">
      <alignment horizontal="right"/>
    </xf>
    <xf numFmtId="2" fontId="13" fillId="0" borderId="39" xfId="0" applyNumberFormat="1" applyFont="1" applyFill="1" applyBorder="1"/>
    <xf numFmtId="0" fontId="13" fillId="0" borderId="55" xfId="0" applyFont="1" applyFill="1" applyBorder="1" applyAlignment="1">
      <alignment horizontal="center"/>
    </xf>
    <xf numFmtId="2" fontId="13" fillId="0" borderId="13" xfId="0" applyNumberFormat="1" applyFont="1" applyFill="1" applyBorder="1"/>
    <xf numFmtId="0" fontId="13" fillId="0" borderId="14" xfId="0" applyFont="1" applyFill="1" applyBorder="1" applyAlignment="1">
      <alignment horizontal="center"/>
    </xf>
    <xf numFmtId="0" fontId="13" fillId="0" borderId="52" xfId="0" applyFont="1" applyFill="1" applyBorder="1"/>
    <xf numFmtId="0" fontId="13" fillId="0" borderId="49" xfId="0" applyFont="1" applyFill="1" applyBorder="1" applyAlignment="1"/>
    <xf numFmtId="2" fontId="13" fillId="0" borderId="49" xfId="0" applyNumberFormat="1" applyFont="1" applyFill="1" applyBorder="1"/>
    <xf numFmtId="0" fontId="13" fillId="0" borderId="51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13" fillId="0" borderId="39" xfId="0" applyNumberFormat="1" applyFont="1" applyFill="1" applyBorder="1" applyAlignment="1">
      <alignment horizontal="right"/>
    </xf>
    <xf numFmtId="2" fontId="13" fillId="0" borderId="15" xfId="0" applyNumberFormat="1" applyFont="1" applyFill="1" applyBorder="1"/>
    <xf numFmtId="0" fontId="13" fillId="0" borderId="21" xfId="0" applyFont="1" applyFill="1" applyBorder="1" applyAlignment="1">
      <alignment horizontal="center"/>
    </xf>
    <xf numFmtId="0" fontId="22" fillId="0" borderId="30" xfId="0" applyFont="1" applyFill="1" applyBorder="1" applyAlignment="1">
      <alignment textRotation="45"/>
    </xf>
    <xf numFmtId="0" fontId="8" fillId="0" borderId="13" xfId="0" applyFont="1" applyFill="1" applyBorder="1" applyAlignment="1">
      <alignment horizontal="right"/>
    </xf>
    <xf numFmtId="2" fontId="12" fillId="0" borderId="13" xfId="0" applyNumberFormat="1" applyFont="1" applyFill="1" applyBorder="1" applyAlignment="1">
      <alignment horizontal="right"/>
    </xf>
    <xf numFmtId="0" fontId="22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right"/>
    </xf>
    <xf numFmtId="2" fontId="13" fillId="0" borderId="1" xfId="0" applyNumberFormat="1" applyFont="1" applyFill="1" applyBorder="1" applyAlignment="1">
      <alignment horizontal="left" indent="1"/>
    </xf>
    <xf numFmtId="2" fontId="13" fillId="0" borderId="6" xfId="0" applyNumberFormat="1" applyFont="1" applyFill="1" applyBorder="1" applyAlignment="1">
      <alignment horizontal="left" indent="1"/>
    </xf>
    <xf numFmtId="1" fontId="13" fillId="0" borderId="22" xfId="0" applyNumberFormat="1" applyFont="1" applyFill="1" applyBorder="1" applyAlignment="1">
      <alignment horizontal="center"/>
    </xf>
    <xf numFmtId="0" fontId="22" fillId="0" borderId="12" xfId="0" applyFont="1" applyFill="1" applyBorder="1"/>
    <xf numFmtId="0" fontId="13" fillId="0" borderId="49" xfId="0" applyFont="1" applyFill="1" applyBorder="1" applyAlignment="1">
      <alignment horizontal="right"/>
    </xf>
    <xf numFmtId="2" fontId="13" fillId="0" borderId="49" xfId="0" applyNumberFormat="1" applyFont="1" applyFill="1" applyBorder="1" applyAlignment="1">
      <alignment horizontal="left" indent="1"/>
    </xf>
    <xf numFmtId="2" fontId="26" fillId="0" borderId="1" xfId="0" applyNumberFormat="1" applyFont="1" applyFill="1" applyBorder="1"/>
    <xf numFmtId="2" fontId="13" fillId="0" borderId="39" xfId="0" applyNumberFormat="1" applyFont="1" applyFill="1" applyBorder="1" applyAlignment="1">
      <alignment horizontal="left" indent="1"/>
    </xf>
    <xf numFmtId="0" fontId="13" fillId="0" borderId="13" xfId="0" applyFont="1" applyFill="1" applyBorder="1" applyAlignment="1"/>
    <xf numFmtId="2" fontId="12" fillId="0" borderId="13" xfId="0" applyNumberFormat="1" applyFont="1" applyFill="1" applyBorder="1" applyAlignment="1"/>
    <xf numFmtId="2" fontId="12" fillId="0" borderId="13" xfId="0" applyNumberFormat="1" applyFont="1" applyFill="1" applyBorder="1" applyAlignment="1">
      <alignment horizontal="center"/>
    </xf>
    <xf numFmtId="0" fontId="22" fillId="0" borderId="17" xfId="0" applyFont="1" applyFill="1" applyBorder="1" applyAlignment="1">
      <alignment vertical="center" textRotation="45"/>
    </xf>
    <xf numFmtId="49" fontId="9" fillId="0" borderId="49" xfId="0" applyNumberFormat="1" applyFont="1" applyFill="1" applyBorder="1" applyAlignment="1">
      <alignment horizontal="right"/>
    </xf>
    <xf numFmtId="2" fontId="13" fillId="0" borderId="1" xfId="0" applyNumberFormat="1" applyFont="1" applyFill="1" applyBorder="1" applyAlignment="1">
      <alignment horizontal="right"/>
    </xf>
    <xf numFmtId="2" fontId="13" fillId="0" borderId="6" xfId="0" applyNumberFormat="1" applyFont="1" applyFill="1" applyBorder="1" applyAlignment="1">
      <alignment horizontal="right"/>
    </xf>
    <xf numFmtId="0" fontId="9" fillId="0" borderId="54" xfId="0" applyFont="1" applyFill="1" applyBorder="1" applyAlignment="1">
      <alignment horizontal="center"/>
    </xf>
    <xf numFmtId="2" fontId="13" fillId="0" borderId="39" xfId="0" applyNumberFormat="1" applyFont="1" applyFill="1" applyBorder="1" applyAlignment="1">
      <alignment horizontal="right"/>
    </xf>
    <xf numFmtId="2" fontId="13" fillId="0" borderId="49" xfId="0" applyNumberFormat="1" applyFont="1" applyFill="1" applyBorder="1" applyAlignment="1">
      <alignment horizontal="right"/>
    </xf>
    <xf numFmtId="2" fontId="13" fillId="0" borderId="1" xfId="0" applyNumberFormat="1" applyFont="1" applyFill="1" applyBorder="1" applyAlignment="1"/>
    <xf numFmtId="0" fontId="7" fillId="0" borderId="30" xfId="0" applyFont="1" applyFill="1" applyBorder="1" applyAlignment="1"/>
    <xf numFmtId="2" fontId="8" fillId="0" borderId="13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center"/>
    </xf>
    <xf numFmtId="2" fontId="13" fillId="0" borderId="3" xfId="0" applyNumberFormat="1" applyFont="1" applyFill="1" applyBorder="1"/>
    <xf numFmtId="0" fontId="9" fillId="0" borderId="23" xfId="0" applyFont="1" applyFill="1" applyBorder="1" applyAlignment="1">
      <alignment horizontal="center"/>
    </xf>
    <xf numFmtId="0" fontId="9" fillId="0" borderId="56" xfId="0" applyFont="1" applyFill="1" applyBorder="1" applyAlignment="1">
      <alignment horizontal="center"/>
    </xf>
    <xf numFmtId="0" fontId="13" fillId="2" borderId="55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right"/>
    </xf>
    <xf numFmtId="0" fontId="13" fillId="0" borderId="23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21" fillId="0" borderId="9" xfId="0" applyFont="1" applyFill="1" applyBorder="1"/>
    <xf numFmtId="0" fontId="21" fillId="0" borderId="54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right"/>
    </xf>
    <xf numFmtId="0" fontId="9" fillId="0" borderId="8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right"/>
    </xf>
    <xf numFmtId="0" fontId="13" fillId="2" borderId="26" xfId="0" applyFont="1" applyFill="1" applyBorder="1"/>
    <xf numFmtId="0" fontId="13" fillId="2" borderId="17" xfId="0" applyFont="1" applyFill="1" applyBorder="1" applyAlignment="1">
      <alignment horizontal="left"/>
    </xf>
    <xf numFmtId="0" fontId="13" fillId="0" borderId="31" xfId="0" applyFont="1" applyFill="1" applyBorder="1"/>
    <xf numFmtId="2" fontId="13" fillId="0" borderId="34" xfId="0" applyNumberFormat="1" applyFont="1" applyFill="1" applyBorder="1"/>
    <xf numFmtId="0" fontId="21" fillId="0" borderId="4" xfId="0" applyFont="1" applyFill="1" applyBorder="1"/>
    <xf numFmtId="0" fontId="13" fillId="0" borderId="3" xfId="0" applyFont="1" applyFill="1" applyBorder="1" applyAlignment="1"/>
    <xf numFmtId="2" fontId="13" fillId="0" borderId="7" xfId="0" applyNumberFormat="1" applyFont="1" applyFill="1" applyBorder="1"/>
    <xf numFmtId="0" fontId="13" fillId="0" borderId="34" xfId="0" applyNumberFormat="1" applyFont="1" applyFill="1" applyBorder="1" applyAlignment="1">
      <alignment horizontal="right"/>
    </xf>
    <xf numFmtId="0" fontId="13" fillId="0" borderId="32" xfId="0" applyFont="1" applyFill="1" applyBorder="1" applyAlignment="1">
      <alignment horizontal="right"/>
    </xf>
    <xf numFmtId="0" fontId="13" fillId="0" borderId="56" xfId="0" applyFont="1" applyFill="1" applyBorder="1"/>
    <xf numFmtId="0" fontId="13" fillId="0" borderId="31" xfId="0" applyFont="1" applyFill="1" applyBorder="1" applyAlignment="1">
      <alignment horizontal="right"/>
    </xf>
    <xf numFmtId="2" fontId="13" fillId="0" borderId="31" xfId="0" applyNumberFormat="1" applyFont="1" applyFill="1" applyBorder="1" applyAlignment="1">
      <alignment horizontal="right"/>
    </xf>
    <xf numFmtId="2" fontId="13" fillId="0" borderId="32" xfId="0" applyNumberFormat="1" applyFont="1" applyFill="1" applyBorder="1"/>
    <xf numFmtId="2" fontId="13" fillId="0" borderId="31" xfId="0" applyNumberFormat="1" applyFont="1" applyFill="1" applyBorder="1"/>
    <xf numFmtId="2" fontId="13" fillId="0" borderId="31" xfId="0" applyNumberFormat="1" applyFont="1" applyFill="1" applyBorder="1" applyAlignment="1">
      <alignment horizontal="left" indent="1"/>
    </xf>
    <xf numFmtId="2" fontId="13" fillId="0" borderId="32" xfId="0" applyNumberFormat="1" applyFont="1" applyFill="1" applyBorder="1" applyAlignment="1">
      <alignment horizontal="left" indent="1"/>
    </xf>
    <xf numFmtId="0" fontId="13" fillId="0" borderId="56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right"/>
    </xf>
    <xf numFmtId="0" fontId="12" fillId="0" borderId="34" xfId="0" applyFont="1" applyFill="1" applyBorder="1" applyAlignment="1">
      <alignment horizontal="right"/>
    </xf>
    <xf numFmtId="0" fontId="13" fillId="0" borderId="32" xfId="0" applyFont="1" applyFill="1" applyBorder="1" applyAlignment="1">
      <alignment horizontal="center"/>
    </xf>
    <xf numFmtId="49" fontId="9" fillId="0" borderId="34" xfId="0" applyNumberFormat="1" applyFont="1" applyFill="1" applyBorder="1" applyAlignment="1">
      <alignment horizontal="right"/>
    </xf>
    <xf numFmtId="0" fontId="13" fillId="0" borderId="34" xfId="0" applyFont="1" applyFill="1" applyBorder="1" applyAlignment="1">
      <alignment horizontal="right"/>
    </xf>
    <xf numFmtId="0" fontId="13" fillId="0" borderId="34" xfId="0" applyFont="1" applyFill="1" applyBorder="1" applyAlignment="1">
      <alignment horizontal="center"/>
    </xf>
    <xf numFmtId="49" fontId="9" fillId="0" borderId="31" xfId="0" applyNumberFormat="1" applyFont="1" applyFill="1" applyBorder="1" applyAlignment="1">
      <alignment horizontal="right"/>
    </xf>
    <xf numFmtId="0" fontId="24" fillId="0" borderId="6" xfId="0" applyFont="1" applyFill="1" applyBorder="1"/>
    <xf numFmtId="0" fontId="24" fillId="0" borderId="6" xfId="0" applyFont="1" applyFill="1" applyBorder="1" applyAlignment="1">
      <alignment horizontal="right"/>
    </xf>
    <xf numFmtId="0" fontId="24" fillId="0" borderId="54" xfId="0" applyFont="1" applyFill="1" applyBorder="1" applyAlignment="1">
      <alignment horizontal="right"/>
    </xf>
    <xf numFmtId="0" fontId="24" fillId="0" borderId="1" xfId="0" applyFont="1" applyFill="1" applyBorder="1"/>
    <xf numFmtId="0" fontId="24" fillId="0" borderId="1" xfId="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right"/>
    </xf>
    <xf numFmtId="0" fontId="24" fillId="0" borderId="22" xfId="0" applyFont="1" applyFill="1" applyBorder="1" applyAlignment="1">
      <alignment horizontal="right"/>
    </xf>
    <xf numFmtId="0" fontId="24" fillId="0" borderId="3" xfId="0" applyFont="1" applyFill="1" applyBorder="1"/>
    <xf numFmtId="0" fontId="20" fillId="0" borderId="3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right"/>
    </xf>
    <xf numFmtId="0" fontId="20" fillId="0" borderId="1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horizontal="left"/>
    </xf>
    <xf numFmtId="0" fontId="20" fillId="0" borderId="22" xfId="0" applyFont="1" applyFill="1" applyBorder="1" applyAlignment="1">
      <alignment horizontal="right"/>
    </xf>
    <xf numFmtId="0" fontId="24" fillId="0" borderId="6" xfId="0" applyFont="1" applyFill="1" applyBorder="1" applyAlignment="1">
      <alignment horizontal="left"/>
    </xf>
    <xf numFmtId="49" fontId="24" fillId="0" borderId="1" xfId="0" applyNumberFormat="1" applyFont="1" applyFill="1" applyBorder="1" applyAlignment="1">
      <alignment horizontal="left"/>
    </xf>
    <xf numFmtId="49" fontId="24" fillId="0" borderId="22" xfId="0" applyNumberFormat="1" applyFont="1" applyFill="1" applyBorder="1" applyAlignment="1">
      <alignment horizontal="left"/>
    </xf>
    <xf numFmtId="0" fontId="24" fillId="0" borderId="46" xfId="0" applyFont="1" applyFill="1" applyBorder="1" applyAlignment="1">
      <alignment horizontal="right"/>
    </xf>
    <xf numFmtId="0" fontId="24" fillId="0" borderId="1" xfId="0" applyFont="1" applyFill="1" applyBorder="1" applyAlignment="1">
      <alignment horizontal="left"/>
    </xf>
    <xf numFmtId="0" fontId="24" fillId="0" borderId="22" xfId="0" applyFont="1" applyFill="1" applyBorder="1" applyAlignment="1">
      <alignment horizontal="left"/>
    </xf>
    <xf numFmtId="0" fontId="24" fillId="0" borderId="3" xfId="0" applyFont="1" applyFill="1" applyBorder="1" applyAlignment="1">
      <alignment horizontal="right"/>
    </xf>
    <xf numFmtId="0" fontId="24" fillId="0" borderId="23" xfId="0" applyFont="1" applyFill="1" applyBorder="1" applyAlignment="1">
      <alignment horizontal="right"/>
    </xf>
    <xf numFmtId="0" fontId="24" fillId="0" borderId="39" xfId="0" applyFont="1" applyFill="1" applyBorder="1"/>
    <xf numFmtId="0" fontId="24" fillId="0" borderId="39" xfId="0" applyFont="1" applyFill="1" applyBorder="1" applyAlignment="1">
      <alignment horizontal="right"/>
    </xf>
    <xf numFmtId="49" fontId="24" fillId="0" borderId="1" xfId="0" applyNumberFormat="1" applyFont="1" applyFill="1" applyBorder="1" applyAlignment="1">
      <alignment horizontal="right"/>
    </xf>
    <xf numFmtId="0" fontId="24" fillId="0" borderId="12" xfId="0" applyFont="1" applyFill="1" applyBorder="1"/>
    <xf numFmtId="0" fontId="24" fillId="0" borderId="13" xfId="0" applyFont="1" applyFill="1" applyBorder="1" applyAlignment="1">
      <alignment horizontal="right"/>
    </xf>
    <xf numFmtId="0" fontId="24" fillId="0" borderId="14" xfId="0" applyFont="1" applyFill="1" applyBorder="1" applyAlignment="1">
      <alignment horizontal="right"/>
    </xf>
    <xf numFmtId="0" fontId="20" fillId="0" borderId="19" xfId="0" applyFont="1" applyFill="1" applyBorder="1" applyAlignment="1">
      <alignment horizontal="center"/>
    </xf>
    <xf numFmtId="0" fontId="24" fillId="0" borderId="7" xfId="0" applyFont="1" applyFill="1" applyBorder="1"/>
    <xf numFmtId="49" fontId="24" fillId="0" borderId="7" xfId="0" applyNumberFormat="1" applyFont="1" applyFill="1" applyBorder="1" applyAlignment="1">
      <alignment horizontal="right"/>
    </xf>
    <xf numFmtId="49" fontId="24" fillId="0" borderId="38" xfId="0" applyNumberFormat="1" applyFont="1" applyFill="1" applyBorder="1" applyAlignment="1">
      <alignment horizontal="right"/>
    </xf>
    <xf numFmtId="0" fontId="20" fillId="0" borderId="6" xfId="0" applyFont="1" applyFill="1" applyBorder="1" applyAlignment="1">
      <alignment horizontal="right"/>
    </xf>
    <xf numFmtId="0" fontId="20" fillId="0" borderId="39" xfId="0" applyFont="1" applyFill="1" applyBorder="1" applyAlignment="1">
      <alignment horizontal="right"/>
    </xf>
    <xf numFmtId="0" fontId="20" fillId="0" borderId="8" xfId="0" applyFont="1" applyFill="1" applyBorder="1" applyAlignment="1">
      <alignment horizontal="center"/>
    </xf>
    <xf numFmtId="0" fontId="24" fillId="0" borderId="37" xfId="0" applyFont="1" applyFill="1" applyBorder="1"/>
    <xf numFmtId="0" fontId="24" fillId="0" borderId="7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right"/>
    </xf>
    <xf numFmtId="0" fontId="24" fillId="0" borderId="6" xfId="0" applyFont="1" applyFill="1" applyBorder="1" applyAlignment="1"/>
    <xf numFmtId="0" fontId="24" fillId="0" borderId="54" xfId="0" applyFont="1" applyFill="1" applyBorder="1" applyAlignment="1"/>
    <xf numFmtId="0" fontId="24" fillId="0" borderId="55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center"/>
    </xf>
    <xf numFmtId="49" fontId="24" fillId="0" borderId="3" xfId="0" applyNumberFormat="1" applyFont="1" applyFill="1" applyBorder="1" applyAlignment="1">
      <alignment horizontal="right"/>
    </xf>
    <xf numFmtId="0" fontId="24" fillId="0" borderId="1" xfId="0" applyFont="1" applyFill="1" applyBorder="1" applyAlignment="1"/>
    <xf numFmtId="0" fontId="24" fillId="0" borderId="22" xfId="0" applyFont="1" applyFill="1" applyBorder="1" applyAlignment="1"/>
    <xf numFmtId="0" fontId="24" fillId="0" borderId="1" xfId="0" applyNumberFormat="1" applyFont="1" applyFill="1" applyBorder="1" applyAlignment="1"/>
    <xf numFmtId="0" fontId="24" fillId="0" borderId="22" xfId="0" applyNumberFormat="1" applyFont="1" applyFill="1" applyBorder="1" applyAlignment="1"/>
    <xf numFmtId="0" fontId="24" fillId="0" borderId="3" xfId="0" applyFont="1" applyFill="1" applyBorder="1" applyAlignment="1"/>
    <xf numFmtId="0" fontId="29" fillId="0" borderId="6" xfId="0" applyFont="1" applyFill="1" applyBorder="1"/>
    <xf numFmtId="0" fontId="24" fillId="0" borderId="3" xfId="0" applyNumberFormat="1" applyFont="1" applyFill="1" applyBorder="1" applyAlignment="1">
      <alignment horizontal="right"/>
    </xf>
    <xf numFmtId="0" fontId="15" fillId="0" borderId="52" xfId="0" applyFont="1" applyFill="1" applyBorder="1"/>
    <xf numFmtId="0" fontId="9" fillId="0" borderId="49" xfId="0" applyFont="1" applyFill="1" applyBorder="1" applyAlignment="1">
      <alignment horizontal="left"/>
    </xf>
    <xf numFmtId="0" fontId="12" fillId="0" borderId="50" xfId="0" applyFont="1" applyFill="1" applyBorder="1"/>
    <xf numFmtId="0" fontId="9" fillId="0" borderId="18" xfId="0" applyFont="1" applyFill="1" applyBorder="1" applyAlignment="1">
      <alignment horizontal="left"/>
    </xf>
    <xf numFmtId="0" fontId="12" fillId="0" borderId="17" xfId="0" applyFont="1" applyFill="1" applyBorder="1"/>
    <xf numFmtId="0" fontId="9" fillId="0" borderId="17" xfId="0" applyFont="1" applyFill="1" applyBorder="1" applyAlignment="1">
      <alignment horizontal="left"/>
    </xf>
    <xf numFmtId="0" fontId="16" fillId="0" borderId="17" xfId="0" applyFont="1" applyFill="1" applyBorder="1" applyAlignment="1">
      <alignment horizontal="center"/>
    </xf>
    <xf numFmtId="0" fontId="9" fillId="0" borderId="26" xfId="0" applyFont="1" applyFill="1" applyBorder="1"/>
    <xf numFmtId="0" fontId="13" fillId="0" borderId="7" xfId="0" applyFont="1" applyFill="1" applyBorder="1" applyAlignment="1">
      <alignment horizontal="right"/>
    </xf>
    <xf numFmtId="0" fontId="9" fillId="0" borderId="17" xfId="0" applyFont="1" applyFill="1" applyBorder="1" applyAlignment="1">
      <alignment horizontal="center"/>
    </xf>
    <xf numFmtId="0" fontId="12" fillId="0" borderId="26" xfId="0" applyFont="1" applyFill="1" applyBorder="1"/>
    <xf numFmtId="0" fontId="9" fillId="0" borderId="18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49" fontId="9" fillId="0" borderId="7" xfId="0" applyNumberFormat="1" applyFont="1" applyFill="1" applyBorder="1" applyAlignment="1">
      <alignment horizontal="right"/>
    </xf>
    <xf numFmtId="49" fontId="9" fillId="0" borderId="38" xfId="0" applyNumberFormat="1" applyFont="1" applyFill="1" applyBorder="1" applyAlignment="1">
      <alignment horizontal="right"/>
    </xf>
    <xf numFmtId="0" fontId="9" fillId="0" borderId="1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right"/>
    </xf>
    <xf numFmtId="0" fontId="24" fillId="3" borderId="6" xfId="0" applyFont="1" applyFill="1" applyBorder="1"/>
    <xf numFmtId="0" fontId="24" fillId="3" borderId="1" xfId="0" applyFont="1" applyFill="1" applyBorder="1"/>
    <xf numFmtId="0" fontId="9" fillId="0" borderId="37" xfId="0" applyFont="1" applyFill="1" applyBorder="1" applyAlignment="1">
      <alignment horizontal="center"/>
    </xf>
    <xf numFmtId="0" fontId="9" fillId="2" borderId="20" xfId="0" applyFont="1" applyFill="1" applyBorder="1"/>
    <xf numFmtId="0" fontId="24" fillId="3" borderId="1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5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left"/>
    </xf>
    <xf numFmtId="0" fontId="20" fillId="0" borderId="48" xfId="0" applyFont="1" applyFill="1" applyBorder="1" applyAlignment="1">
      <alignment horizontal="center"/>
    </xf>
    <xf numFmtId="0" fontId="20" fillId="0" borderId="38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4" fillId="0" borderId="38" xfId="0" applyFont="1" applyFill="1" applyBorder="1" applyAlignment="1">
      <alignment horizontal="right"/>
    </xf>
    <xf numFmtId="0" fontId="20" fillId="0" borderId="20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0" fillId="0" borderId="1" xfId="0" applyFont="1" applyFill="1" applyBorder="1"/>
    <xf numFmtId="0" fontId="9" fillId="0" borderId="57" xfId="0" applyFont="1" applyFill="1" applyBorder="1" applyAlignment="1">
      <alignment horizontal="center"/>
    </xf>
    <xf numFmtId="0" fontId="9" fillId="0" borderId="58" xfId="0" applyFont="1" applyFill="1" applyBorder="1" applyAlignment="1">
      <alignment horizontal="center"/>
    </xf>
    <xf numFmtId="0" fontId="9" fillId="0" borderId="59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20" fillId="0" borderId="39" xfId="0" applyFont="1" applyFill="1" applyBorder="1" applyAlignment="1">
      <alignment horizontal="center"/>
    </xf>
    <xf numFmtId="0" fontId="24" fillId="0" borderId="39" xfId="0" applyNumberFormat="1" applyFont="1" applyFill="1" applyBorder="1" applyAlignment="1">
      <alignment horizontal="right"/>
    </xf>
    <xf numFmtId="0" fontId="24" fillId="0" borderId="39" xfId="0" applyFont="1" applyFill="1" applyBorder="1" applyAlignment="1"/>
    <xf numFmtId="0" fontId="24" fillId="0" borderId="55" xfId="0" applyFont="1" applyFill="1" applyBorder="1" applyAlignment="1"/>
    <xf numFmtId="0" fontId="29" fillId="0" borderId="6" xfId="0" applyFont="1" applyFill="1" applyBorder="1" applyAlignment="1">
      <alignment horizontal="center"/>
    </xf>
    <xf numFmtId="0" fontId="1" fillId="0" borderId="3" xfId="0" applyFont="1" applyBorder="1"/>
    <xf numFmtId="164" fontId="13" fillId="3" borderId="1" xfId="0" applyNumberFormat="1" applyFont="1" applyFill="1" applyBorder="1"/>
    <xf numFmtId="164" fontId="13" fillId="3" borderId="60" xfId="0" applyNumberFormat="1" applyFont="1" applyFill="1" applyBorder="1"/>
    <xf numFmtId="164" fontId="13" fillId="3" borderId="53" xfId="0" applyNumberFormat="1" applyFont="1" applyFill="1" applyBorder="1"/>
    <xf numFmtId="164" fontId="13" fillId="3" borderId="3" xfId="0" applyNumberFormat="1" applyFont="1" applyFill="1" applyBorder="1"/>
    <xf numFmtId="0" fontId="30" fillId="0" borderId="9" xfId="0" applyFont="1" applyFill="1" applyBorder="1" applyAlignment="1">
      <alignment horizontal="center"/>
    </xf>
    <xf numFmtId="0" fontId="31" fillId="0" borderId="6" xfId="0" applyFont="1" applyFill="1" applyBorder="1"/>
    <xf numFmtId="0" fontId="31" fillId="0" borderId="6" xfId="0" applyFont="1" applyFill="1" applyBorder="1" applyAlignment="1">
      <alignment horizontal="right"/>
    </xf>
    <xf numFmtId="0" fontId="31" fillId="0" borderId="54" xfId="0" applyFont="1" applyFill="1" applyBorder="1" applyAlignment="1">
      <alignment horizontal="right"/>
    </xf>
    <xf numFmtId="0" fontId="30" fillId="0" borderId="2" xfId="0" applyFont="1" applyFill="1" applyBorder="1" applyAlignment="1">
      <alignment horizontal="center"/>
    </xf>
    <xf numFmtId="0" fontId="31" fillId="0" borderId="1" xfId="0" applyFont="1" applyFill="1" applyBorder="1"/>
    <xf numFmtId="0" fontId="31" fillId="0" borderId="1" xfId="0" applyNumberFormat="1" applyFont="1" applyFill="1" applyBorder="1" applyAlignment="1">
      <alignment horizontal="right"/>
    </xf>
    <xf numFmtId="0" fontId="31" fillId="0" borderId="22" xfId="0" applyNumberFormat="1" applyFont="1" applyFill="1" applyBorder="1" applyAlignment="1">
      <alignment horizontal="right"/>
    </xf>
    <xf numFmtId="0" fontId="30" fillId="0" borderId="60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right"/>
    </xf>
    <xf numFmtId="0" fontId="31" fillId="0" borderId="46" xfId="0" applyFont="1" applyFill="1" applyBorder="1" applyAlignment="1">
      <alignment horizontal="right"/>
    </xf>
    <xf numFmtId="0" fontId="31" fillId="0" borderId="22" xfId="0" applyFont="1" applyFill="1" applyBorder="1" applyAlignment="1">
      <alignment horizontal="right"/>
    </xf>
    <xf numFmtId="0" fontId="30" fillId="0" borderId="4" xfId="0" applyFont="1" applyFill="1" applyBorder="1" applyAlignment="1">
      <alignment horizontal="center"/>
    </xf>
    <xf numFmtId="0" fontId="31" fillId="0" borderId="3" xfId="0" applyFont="1" applyFill="1" applyBorder="1"/>
    <xf numFmtId="0" fontId="30" fillId="0" borderId="3" xfId="0" applyFont="1" applyFill="1" applyBorder="1" applyAlignment="1">
      <alignment horizontal="right"/>
    </xf>
    <xf numFmtId="0" fontId="30" fillId="0" borderId="23" xfId="0" applyFont="1" applyFill="1" applyBorder="1" applyAlignment="1">
      <alignment horizontal="right"/>
    </xf>
    <xf numFmtId="0" fontId="30" fillId="0" borderId="53" xfId="0" applyFont="1" applyFill="1" applyBorder="1" applyAlignment="1">
      <alignment horizontal="center"/>
    </xf>
    <xf numFmtId="0" fontId="31" fillId="0" borderId="3" xfId="0" applyNumberFormat="1" applyFont="1" applyFill="1" applyBorder="1" applyAlignment="1">
      <alignment horizontal="right"/>
    </xf>
    <xf numFmtId="0" fontId="31" fillId="0" borderId="48" xfId="0" applyNumberFormat="1" applyFont="1" applyFill="1" applyBorder="1" applyAlignment="1">
      <alignment horizontal="right"/>
    </xf>
    <xf numFmtId="0" fontId="30" fillId="0" borderId="43" xfId="0" applyFont="1" applyFill="1" applyBorder="1" applyAlignment="1">
      <alignment horizontal="center"/>
    </xf>
    <xf numFmtId="0" fontId="31" fillId="0" borderId="12" xfId="0" applyFont="1" applyFill="1" applyBorder="1"/>
    <xf numFmtId="0" fontId="31" fillId="0" borderId="13" xfId="0" applyFont="1" applyFill="1" applyBorder="1" applyAlignment="1">
      <alignment horizontal="right"/>
    </xf>
    <xf numFmtId="0" fontId="30" fillId="0" borderId="14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/>
    </xf>
    <xf numFmtId="0" fontId="31" fillId="0" borderId="15" xfId="0" applyFont="1" applyFill="1" applyBorder="1"/>
    <xf numFmtId="0" fontId="31" fillId="0" borderId="15" xfId="0" applyFont="1" applyFill="1" applyBorder="1" applyAlignment="1">
      <alignment horizontal="right"/>
    </xf>
    <xf numFmtId="0" fontId="31" fillId="0" borderId="21" xfId="0" applyFont="1" applyFill="1" applyBorder="1" applyAlignment="1">
      <alignment horizontal="right"/>
    </xf>
    <xf numFmtId="0" fontId="30" fillId="0" borderId="6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right"/>
    </xf>
    <xf numFmtId="0" fontId="30" fillId="0" borderId="22" xfId="0" applyFont="1" applyFill="1" applyBorder="1" applyAlignment="1">
      <alignment horizontal="right"/>
    </xf>
    <xf numFmtId="0" fontId="30" fillId="0" borderId="2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/>
    </xf>
    <xf numFmtId="0" fontId="31" fillId="0" borderId="22" xfId="0" applyFont="1" applyFill="1" applyBorder="1" applyAlignment="1">
      <alignment horizontal="left"/>
    </xf>
    <xf numFmtId="0" fontId="30" fillId="0" borderId="1" xfId="0" applyNumberFormat="1" applyFont="1" applyFill="1" applyBorder="1" applyAlignment="1">
      <alignment horizontal="right"/>
    </xf>
    <xf numFmtId="0" fontId="30" fillId="0" borderId="22" xfId="0" applyNumberFormat="1" applyFont="1" applyFill="1" applyBorder="1" applyAlignment="1">
      <alignment horizontal="right"/>
    </xf>
    <xf numFmtId="0" fontId="31" fillId="0" borderId="3" xfId="0" applyFont="1" applyFill="1" applyBorder="1" applyAlignment="1">
      <alignment horizontal="right"/>
    </xf>
    <xf numFmtId="0" fontId="31" fillId="0" borderId="23" xfId="0" applyFont="1" applyFill="1" applyBorder="1" applyAlignment="1">
      <alignment horizontal="right"/>
    </xf>
    <xf numFmtId="0" fontId="30" fillId="0" borderId="15" xfId="0" applyFont="1" applyFill="1" applyBorder="1" applyAlignment="1">
      <alignment horizontal="right"/>
    </xf>
    <xf numFmtId="0" fontId="30" fillId="0" borderId="35" xfId="0" applyFont="1" applyFill="1" applyBorder="1" applyAlignment="1">
      <alignment horizontal="right"/>
    </xf>
    <xf numFmtId="0" fontId="31" fillId="0" borderId="16" xfId="0" applyFont="1" applyFill="1" applyBorder="1"/>
    <xf numFmtId="0" fontId="30" fillId="0" borderId="46" xfId="0" applyFont="1" applyFill="1" applyBorder="1" applyAlignment="1">
      <alignment horizontal="right"/>
    </xf>
    <xf numFmtId="0" fontId="31" fillId="0" borderId="60" xfId="0" applyFont="1" applyFill="1" applyBorder="1"/>
    <xf numFmtId="0" fontId="30" fillId="0" borderId="1" xfId="0" applyFont="1" applyFill="1" applyBorder="1" applyAlignment="1">
      <alignment horizontal="left"/>
    </xf>
    <xf numFmtId="0" fontId="30" fillId="0" borderId="46" xfId="0" applyFont="1" applyFill="1" applyBorder="1" applyAlignment="1">
      <alignment horizontal="left"/>
    </xf>
    <xf numFmtId="0" fontId="30" fillId="0" borderId="2" xfId="0" applyFont="1" applyFill="1" applyBorder="1"/>
    <xf numFmtId="0" fontId="30" fillId="0" borderId="48" xfId="0" applyFont="1" applyFill="1" applyBorder="1" applyAlignment="1">
      <alignment horizontal="right"/>
    </xf>
    <xf numFmtId="0" fontId="31" fillId="0" borderId="53" xfId="0" applyFont="1" applyFill="1" applyBorder="1"/>
    <xf numFmtId="0" fontId="31" fillId="0" borderId="6" xfId="0" applyFont="1" applyFill="1" applyBorder="1" applyAlignment="1">
      <alignment horizontal="left"/>
    </xf>
    <xf numFmtId="0" fontId="31" fillId="0" borderId="62" xfId="0" applyFont="1" applyFill="1" applyBorder="1" applyAlignment="1">
      <alignment horizontal="left"/>
    </xf>
    <xf numFmtId="49" fontId="31" fillId="0" borderId="1" xfId="0" applyNumberFormat="1" applyFont="1" applyFill="1" applyBorder="1" applyAlignment="1">
      <alignment horizontal="left"/>
    </xf>
    <xf numFmtId="49" fontId="31" fillId="0" borderId="22" xfId="0" applyNumberFormat="1" applyFont="1" applyFill="1" applyBorder="1" applyAlignment="1">
      <alignment horizontal="left"/>
    </xf>
    <xf numFmtId="0" fontId="31" fillId="0" borderId="3" xfId="0" applyFont="1" applyFill="1" applyBorder="1" applyAlignment="1">
      <alignment horizontal="left"/>
    </xf>
    <xf numFmtId="0" fontId="31" fillId="0" borderId="23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center"/>
    </xf>
    <xf numFmtId="0" fontId="31" fillId="0" borderId="13" xfId="0" applyFont="1" applyFill="1" applyBorder="1"/>
    <xf numFmtId="0" fontId="30" fillId="0" borderId="60" xfId="0" applyFont="1" applyFill="1" applyBorder="1" applyAlignment="1">
      <alignment horizontal="left"/>
    </xf>
    <xf numFmtId="0" fontId="31" fillId="0" borderId="46" xfId="0" applyNumberFormat="1" applyFont="1" applyFill="1" applyBorder="1" applyAlignment="1">
      <alignment horizontal="right"/>
    </xf>
    <xf numFmtId="0" fontId="30" fillId="0" borderId="63" xfId="0" applyFont="1" applyFill="1" applyBorder="1" applyAlignment="1">
      <alignment horizontal="center"/>
    </xf>
    <xf numFmtId="0" fontId="31" fillId="0" borderId="39" xfId="0" applyFont="1" applyFill="1" applyBorder="1"/>
    <xf numFmtId="0" fontId="31" fillId="0" borderId="39" xfId="0" applyFont="1" applyFill="1" applyBorder="1" applyAlignment="1">
      <alignment horizontal="right"/>
    </xf>
    <xf numFmtId="0" fontId="31" fillId="0" borderId="64" xfId="0" applyFont="1" applyFill="1" applyBorder="1" applyAlignment="1">
      <alignment horizontal="right"/>
    </xf>
    <xf numFmtId="0" fontId="31" fillId="0" borderId="48" xfId="0" applyFont="1" applyFill="1" applyBorder="1" applyAlignment="1">
      <alignment horizontal="right"/>
    </xf>
    <xf numFmtId="164" fontId="13" fillId="3" borderId="1" xfId="0" applyNumberFormat="1" applyFont="1" applyFill="1" applyBorder="1" applyAlignment="1">
      <alignment horizontal="right"/>
    </xf>
    <xf numFmtId="0" fontId="31" fillId="0" borderId="54" xfId="0" applyFont="1" applyFill="1" applyBorder="1" applyAlignment="1">
      <alignment horizontal="left"/>
    </xf>
    <xf numFmtId="49" fontId="31" fillId="0" borderId="46" xfId="0" applyNumberFormat="1" applyFont="1" applyFill="1" applyBorder="1" applyAlignment="1">
      <alignment horizontal="left"/>
    </xf>
    <xf numFmtId="0" fontId="30" fillId="0" borderId="27" xfId="0" applyFont="1" applyFill="1" applyBorder="1" applyAlignment="1">
      <alignment horizontal="center"/>
    </xf>
    <xf numFmtId="0" fontId="31" fillId="0" borderId="39" xfId="0" applyFont="1" applyFill="1" applyBorder="1" applyAlignment="1">
      <alignment horizontal="left"/>
    </xf>
    <xf numFmtId="0" fontId="31" fillId="0" borderId="55" xfId="0" applyFont="1" applyFill="1" applyBorder="1" applyAlignment="1">
      <alignment horizontal="left"/>
    </xf>
    <xf numFmtId="0" fontId="31" fillId="0" borderId="62" xfId="0" applyFont="1" applyFill="1" applyBorder="1" applyAlignment="1">
      <alignment horizontal="right"/>
    </xf>
    <xf numFmtId="0" fontId="31" fillId="0" borderId="65" xfId="0" applyFont="1" applyFill="1" applyBorder="1" applyAlignment="1">
      <alignment horizontal="right"/>
    </xf>
    <xf numFmtId="0" fontId="30" fillId="0" borderId="39" xfId="0" applyFont="1" applyFill="1" applyBorder="1" applyAlignment="1">
      <alignment horizontal="right"/>
    </xf>
    <xf numFmtId="0" fontId="30" fillId="0" borderId="55" xfId="0" applyFont="1" applyFill="1" applyBorder="1" applyAlignment="1">
      <alignment horizontal="right"/>
    </xf>
    <xf numFmtId="0" fontId="31" fillId="0" borderId="14" xfId="0" applyFont="1" applyFill="1" applyBorder="1" applyAlignment="1">
      <alignment horizontal="right"/>
    </xf>
    <xf numFmtId="0" fontId="18" fillId="0" borderId="0" xfId="0" applyFont="1" applyFill="1" applyBorder="1"/>
    <xf numFmtId="0" fontId="13" fillId="2" borderId="5" xfId="0" applyFont="1" applyFill="1" applyBorder="1"/>
    <xf numFmtId="164" fontId="13" fillId="3" borderId="22" xfId="0" applyNumberFormat="1" applyFont="1" applyFill="1" applyBorder="1"/>
    <xf numFmtId="164" fontId="13" fillId="3" borderId="46" xfId="0" applyNumberFormat="1" applyFont="1" applyFill="1" applyBorder="1"/>
    <xf numFmtId="164" fontId="13" fillId="3" borderId="48" xfId="0" applyNumberFormat="1" applyFont="1" applyFill="1" applyBorder="1"/>
    <xf numFmtId="0" fontId="30" fillId="3" borderId="2" xfId="0" applyFont="1" applyFill="1" applyBorder="1" applyAlignment="1">
      <alignment horizontal="center"/>
    </xf>
    <xf numFmtId="0" fontId="31" fillId="3" borderId="1" xfId="0" applyFont="1" applyFill="1" applyBorder="1"/>
    <xf numFmtId="0" fontId="31" fillId="3" borderId="1" xfId="0" applyFont="1" applyFill="1" applyBorder="1" applyAlignment="1">
      <alignment horizontal="right"/>
    </xf>
    <xf numFmtId="0" fontId="31" fillId="3" borderId="22" xfId="0" applyFont="1" applyFill="1" applyBorder="1" applyAlignment="1">
      <alignment horizontal="right"/>
    </xf>
    <xf numFmtId="164" fontId="13" fillId="0" borderId="21" xfId="0" applyNumberFormat="1" applyFont="1" applyFill="1" applyBorder="1"/>
    <xf numFmtId="164" fontId="13" fillId="0" borderId="61" xfId="0" applyNumberFormat="1" applyFont="1" applyFill="1" applyBorder="1"/>
    <xf numFmtId="164" fontId="13" fillId="0" borderId="35" xfId="0" applyNumberFormat="1" applyFont="1" applyFill="1" applyBorder="1"/>
    <xf numFmtId="164" fontId="13" fillId="0" borderId="60" xfId="0" applyNumberFormat="1" applyFont="1" applyFill="1" applyBorder="1"/>
    <xf numFmtId="164" fontId="13" fillId="0" borderId="46" xfId="0" applyNumberFormat="1" applyFont="1" applyFill="1" applyBorder="1"/>
    <xf numFmtId="164" fontId="13" fillId="3" borderId="23" xfId="0" applyNumberFormat="1" applyFont="1" applyFill="1" applyBorder="1"/>
    <xf numFmtId="0" fontId="32" fillId="0" borderId="0" xfId="0" applyFont="1" applyFill="1" applyBorder="1"/>
    <xf numFmtId="0" fontId="32" fillId="0" borderId="0" xfId="0" applyFont="1" applyFill="1"/>
    <xf numFmtId="0" fontId="30" fillId="0" borderId="9" xfId="0" applyFont="1" applyFill="1" applyBorder="1" applyAlignment="1">
      <alignment horizontal="left"/>
    </xf>
    <xf numFmtId="164" fontId="13" fillId="3" borderId="1" xfId="0" quotePrefix="1" applyNumberFormat="1" applyFont="1" applyFill="1" applyBorder="1"/>
    <xf numFmtId="164" fontId="13" fillId="3" borderId="15" xfId="0" applyNumberFormat="1" applyFont="1" applyFill="1" applyBorder="1"/>
    <xf numFmtId="164" fontId="13" fillId="3" borderId="2" xfId="0" applyNumberFormat="1" applyFont="1" applyFill="1" applyBorder="1"/>
    <xf numFmtId="164" fontId="13" fillId="3" borderId="4" xfId="0" applyNumberFormat="1" applyFont="1" applyFill="1" applyBorder="1"/>
    <xf numFmtId="0" fontId="9" fillId="0" borderId="9" xfId="0" applyFont="1" applyFill="1" applyBorder="1" applyAlignment="1">
      <alignment horizontal="center"/>
    </xf>
    <xf numFmtId="0" fontId="13" fillId="0" borderId="54" xfId="0" applyFont="1" applyFill="1" applyBorder="1" applyAlignment="1">
      <alignment horizontal="right"/>
    </xf>
    <xf numFmtId="0" fontId="13" fillId="0" borderId="62" xfId="0" applyFont="1" applyFill="1" applyBorder="1" applyAlignment="1">
      <alignment horizontal="left"/>
    </xf>
    <xf numFmtId="0" fontId="13" fillId="0" borderId="54" xfId="0" applyFont="1" applyFill="1" applyBorder="1" applyAlignment="1">
      <alignment horizontal="left"/>
    </xf>
    <xf numFmtId="0" fontId="13" fillId="0" borderId="22" xfId="0" applyNumberFormat="1" applyFont="1" applyFill="1" applyBorder="1" applyAlignment="1">
      <alignment horizontal="right"/>
    </xf>
    <xf numFmtId="0" fontId="9" fillId="0" borderId="60" xfId="0" applyFont="1" applyFill="1" applyBorder="1" applyAlignment="1">
      <alignment horizontal="center"/>
    </xf>
    <xf numFmtId="0" fontId="13" fillId="0" borderId="46" xfId="0" applyFont="1" applyFill="1" applyBorder="1" applyAlignment="1">
      <alignment horizontal="right"/>
    </xf>
    <xf numFmtId="49" fontId="13" fillId="0" borderId="22" xfId="0" applyNumberFormat="1" applyFont="1" applyFill="1" applyBorder="1" applyAlignment="1">
      <alignment horizontal="left"/>
    </xf>
    <xf numFmtId="49" fontId="13" fillId="0" borderId="46" xfId="0" applyNumberFormat="1" applyFont="1" applyFill="1" applyBorder="1" applyAlignment="1">
      <alignment horizontal="left"/>
    </xf>
    <xf numFmtId="0" fontId="13" fillId="0" borderId="22" xfId="0" applyFont="1" applyFill="1" applyBorder="1" applyAlignment="1">
      <alignment horizontal="right"/>
    </xf>
    <xf numFmtId="0" fontId="13" fillId="0" borderId="22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right"/>
    </xf>
    <xf numFmtId="0" fontId="9" fillId="0" borderId="53" xfId="0" applyFont="1" applyFill="1" applyBorder="1" applyAlignment="1">
      <alignment horizontal="center"/>
    </xf>
    <xf numFmtId="0" fontId="13" fillId="0" borderId="48" xfId="0" applyNumberFormat="1" applyFont="1" applyFill="1" applyBorder="1" applyAlignment="1">
      <alignment horizontal="right"/>
    </xf>
    <xf numFmtId="0" fontId="13" fillId="0" borderId="23" xfId="0" applyFont="1" applyFill="1" applyBorder="1" applyAlignment="1">
      <alignment horizontal="left"/>
    </xf>
    <xf numFmtId="0" fontId="9" fillId="0" borderId="27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right"/>
    </xf>
    <xf numFmtId="0" fontId="13" fillId="0" borderId="23" xfId="0" applyFont="1" applyFill="1" applyBorder="1" applyAlignment="1">
      <alignment horizontal="right"/>
    </xf>
    <xf numFmtId="0" fontId="9" fillId="0" borderId="4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13" fillId="0" borderId="65" xfId="0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/>
    </xf>
    <xf numFmtId="0" fontId="13" fillId="0" borderId="21" xfId="0" applyFont="1" applyFill="1" applyBorder="1" applyAlignment="1">
      <alignment horizontal="right"/>
    </xf>
    <xf numFmtId="0" fontId="9" fillId="0" borderId="61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right"/>
    </xf>
    <xf numFmtId="0" fontId="9" fillId="0" borderId="21" xfId="0" applyFont="1" applyFill="1" applyBorder="1" applyAlignment="1">
      <alignment horizontal="right"/>
    </xf>
    <xf numFmtId="0" fontId="9" fillId="0" borderId="2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left"/>
    </xf>
    <xf numFmtId="0" fontId="9" fillId="0" borderId="60" xfId="0" applyFont="1" applyFill="1" applyBorder="1" applyAlignment="1">
      <alignment horizontal="left"/>
    </xf>
    <xf numFmtId="0" fontId="9" fillId="0" borderId="22" xfId="0" applyNumberFormat="1" applyFont="1" applyFill="1" applyBorder="1" applyAlignment="1">
      <alignment horizontal="right"/>
    </xf>
    <xf numFmtId="0" fontId="13" fillId="0" borderId="46" xfId="0" applyNumberFormat="1" applyFont="1" applyFill="1" applyBorder="1" applyAlignment="1">
      <alignment horizontal="right"/>
    </xf>
    <xf numFmtId="0" fontId="9" fillId="0" borderId="2" xfId="0" applyFont="1" applyFill="1" applyBorder="1"/>
    <xf numFmtId="0" fontId="13" fillId="0" borderId="60" xfId="0" applyFont="1" applyFill="1" applyBorder="1"/>
    <xf numFmtId="0" fontId="9" fillId="0" borderId="63" xfId="0" applyFont="1" applyFill="1" applyBorder="1" applyAlignment="1">
      <alignment horizontal="center"/>
    </xf>
    <xf numFmtId="0" fontId="13" fillId="0" borderId="64" xfId="0" applyFont="1" applyFill="1" applyBorder="1" applyAlignment="1">
      <alignment horizontal="right"/>
    </xf>
    <xf numFmtId="0" fontId="13" fillId="0" borderId="55" xfId="0" applyFont="1" applyFill="1" applyBorder="1" applyAlignment="1">
      <alignment horizontal="left"/>
    </xf>
    <xf numFmtId="0" fontId="13" fillId="0" borderId="27" xfId="0" applyFont="1" applyFill="1" applyBorder="1" applyAlignment="1">
      <alignment horizontal="right"/>
    </xf>
    <xf numFmtId="0" fontId="13" fillId="0" borderId="55" xfId="0" applyFont="1" applyFill="1" applyBorder="1" applyAlignment="1">
      <alignment horizontal="right"/>
    </xf>
    <xf numFmtId="0" fontId="13" fillId="0" borderId="62" xfId="0" applyFont="1" applyFill="1" applyBorder="1" applyAlignment="1">
      <alignment horizontal="right"/>
    </xf>
    <xf numFmtId="0" fontId="9" fillId="0" borderId="46" xfId="0" applyFont="1" applyFill="1" applyBorder="1" applyAlignment="1">
      <alignment horizontal="right"/>
    </xf>
    <xf numFmtId="0" fontId="9" fillId="0" borderId="48" xfId="0" applyFont="1" applyFill="1" applyBorder="1" applyAlignment="1">
      <alignment horizontal="right"/>
    </xf>
    <xf numFmtId="0" fontId="13" fillId="0" borderId="48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center"/>
    </xf>
    <xf numFmtId="49" fontId="9" fillId="0" borderId="23" xfId="0" applyNumberFormat="1" applyFont="1" applyFill="1" applyBorder="1" applyAlignment="1">
      <alignment horizontal="right"/>
    </xf>
    <xf numFmtId="0" fontId="13" fillId="0" borderId="64" xfId="0" applyFont="1" applyFill="1" applyBorder="1" applyAlignment="1">
      <alignment horizontal="left"/>
    </xf>
    <xf numFmtId="49" fontId="13" fillId="0" borderId="13" xfId="0" applyNumberFormat="1" applyFont="1" applyFill="1" applyBorder="1" applyAlignment="1">
      <alignment horizontal="right"/>
    </xf>
    <xf numFmtId="49" fontId="13" fillId="0" borderId="14" xfId="0" applyNumberFormat="1" applyFont="1" applyFill="1" applyBorder="1" applyAlignment="1">
      <alignment horizontal="right"/>
    </xf>
    <xf numFmtId="0" fontId="9" fillId="0" borderId="54" xfId="0" applyFont="1" applyFill="1" applyBorder="1" applyAlignment="1">
      <alignment horizontal="right"/>
    </xf>
    <xf numFmtId="0" fontId="13" fillId="0" borderId="54" xfId="0" applyFont="1" applyFill="1" applyBorder="1" applyAlignment="1"/>
    <xf numFmtId="0" fontId="9" fillId="3" borderId="9" xfId="0" applyFont="1" applyFill="1" applyBorder="1" applyAlignment="1">
      <alignment horizontal="center"/>
    </xf>
    <xf numFmtId="0" fontId="13" fillId="3" borderId="6" xfId="0" applyFont="1" applyFill="1" applyBorder="1"/>
    <xf numFmtId="0" fontId="13" fillId="0" borderId="22" xfId="0" applyFont="1" applyFill="1" applyBorder="1" applyAlignment="1"/>
    <xf numFmtId="0" fontId="13" fillId="0" borderId="1" xfId="0" applyNumberFormat="1" applyFont="1" applyFill="1" applyBorder="1" applyAlignment="1"/>
    <xf numFmtId="0" fontId="13" fillId="0" borderId="22" xfId="0" applyNumberFormat="1" applyFont="1" applyFill="1" applyBorder="1" applyAlignment="1"/>
    <xf numFmtId="0" fontId="13" fillId="0" borderId="23" xfId="0" applyFont="1" applyFill="1" applyBorder="1" applyAlignment="1"/>
    <xf numFmtId="0" fontId="21" fillId="0" borderId="9" xfId="0" applyFont="1" applyFill="1" applyBorder="1" applyAlignment="1">
      <alignment horizontal="center"/>
    </xf>
    <xf numFmtId="0" fontId="21" fillId="0" borderId="6" xfId="0" applyFont="1" applyFill="1" applyBorder="1"/>
    <xf numFmtId="49" fontId="13" fillId="0" borderId="46" xfId="0" applyNumberFormat="1" applyFont="1" applyFill="1" applyBorder="1" applyAlignment="1">
      <alignment horizontal="right"/>
    </xf>
    <xf numFmtId="49" fontId="13" fillId="0" borderId="23" xfId="0" applyNumberFormat="1" applyFont="1" applyFill="1" applyBorder="1" applyAlignment="1">
      <alignment horizontal="right"/>
    </xf>
    <xf numFmtId="164" fontId="13" fillId="0" borderId="6" xfId="0" applyNumberFormat="1" applyFont="1" applyFill="1" applyBorder="1"/>
    <xf numFmtId="164" fontId="13" fillId="0" borderId="54" xfId="0" applyNumberFormat="1" applyFont="1" applyFill="1" applyBorder="1"/>
    <xf numFmtId="0" fontId="13" fillId="0" borderId="2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33" fillId="0" borderId="2" xfId="0" applyFont="1" applyFill="1" applyBorder="1" applyAlignment="1"/>
    <xf numFmtId="0" fontId="33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164" fontId="12" fillId="0" borderId="22" xfId="0" applyNumberFormat="1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66" xfId="0" applyFont="1" applyFill="1" applyBorder="1"/>
    <xf numFmtId="164" fontId="13" fillId="0" borderId="33" xfId="0" applyNumberFormat="1" applyFont="1" applyFill="1" applyBorder="1"/>
    <xf numFmtId="164" fontId="13" fillId="0" borderId="25" xfId="0" applyNumberFormat="1" applyFont="1" applyFill="1" applyBorder="1"/>
    <xf numFmtId="2" fontId="13" fillId="0" borderId="22" xfId="0" applyNumberFormat="1" applyFont="1" applyFill="1" applyBorder="1"/>
    <xf numFmtId="164" fontId="13" fillId="0" borderId="13" xfId="0" applyNumberFormat="1" applyFont="1" applyFill="1" applyBorder="1"/>
    <xf numFmtId="164" fontId="13" fillId="0" borderId="14" xfId="0" applyNumberFormat="1" applyFont="1" applyFill="1" applyBorder="1"/>
    <xf numFmtId="0" fontId="13" fillId="0" borderId="41" xfId="0" applyFont="1" applyFill="1" applyBorder="1" applyAlignment="1">
      <alignment horizontal="center"/>
    </xf>
    <xf numFmtId="164" fontId="13" fillId="0" borderId="22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right"/>
    </xf>
    <xf numFmtId="164" fontId="13" fillId="0" borderId="22" xfId="0" applyNumberFormat="1" applyFont="1" applyFill="1" applyBorder="1" applyAlignment="1">
      <alignment horizontal="right"/>
    </xf>
    <xf numFmtId="0" fontId="13" fillId="0" borderId="39" xfId="0" applyNumberFormat="1" applyFont="1" applyFill="1" applyBorder="1" applyAlignment="1">
      <alignment horizontal="left"/>
    </xf>
    <xf numFmtId="164" fontId="13" fillId="0" borderId="39" xfId="0" applyNumberFormat="1" applyFont="1" applyFill="1" applyBorder="1"/>
    <xf numFmtId="164" fontId="13" fillId="0" borderId="55" xfId="0" applyNumberFormat="1" applyFont="1" applyFill="1" applyBorder="1"/>
    <xf numFmtId="0" fontId="13" fillId="0" borderId="9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0" fontId="12" fillId="0" borderId="1" xfId="0" applyFont="1" applyFill="1" applyBorder="1" applyAlignment="1"/>
    <xf numFmtId="0" fontId="13" fillId="0" borderId="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9" fontId="13" fillId="0" borderId="6" xfId="0" applyNumberFormat="1" applyFont="1" applyFill="1" applyBorder="1" applyAlignment="1">
      <alignment horizontal="left"/>
    </xf>
    <xf numFmtId="49" fontId="13" fillId="0" borderId="6" xfId="0" applyNumberFormat="1" applyFont="1" applyFill="1" applyBorder="1" applyAlignment="1">
      <alignment horizontal="right"/>
    </xf>
    <xf numFmtId="0" fontId="13" fillId="0" borderId="13" xfId="0" applyFont="1" applyFill="1" applyBorder="1" applyAlignment="1">
      <alignment horizontal="left"/>
    </xf>
    <xf numFmtId="164" fontId="13" fillId="0" borderId="7" xfId="0" applyNumberFormat="1" applyFont="1" applyFill="1" applyBorder="1"/>
    <xf numFmtId="164" fontId="13" fillId="0" borderId="38" xfId="0" applyNumberFormat="1" applyFont="1" applyFill="1" applyBorder="1"/>
    <xf numFmtId="165" fontId="13" fillId="0" borderId="1" xfId="0" applyNumberFormat="1" applyFont="1" applyFill="1" applyBorder="1"/>
    <xf numFmtId="165" fontId="13" fillId="0" borderId="22" xfId="0" applyNumberFormat="1" applyFont="1" applyFill="1" applyBorder="1"/>
    <xf numFmtId="0" fontId="21" fillId="0" borderId="6" xfId="0" applyFont="1" applyFill="1" applyBorder="1" applyAlignment="1">
      <alignment horizontal="left"/>
    </xf>
    <xf numFmtId="164" fontId="9" fillId="0" borderId="6" xfId="0" applyNumberFormat="1" applyFont="1" applyFill="1" applyBorder="1"/>
    <xf numFmtId="164" fontId="9" fillId="0" borderId="54" xfId="0" applyNumberFormat="1" applyFont="1" applyFill="1" applyBorder="1"/>
    <xf numFmtId="0" fontId="21" fillId="0" borderId="1" xfId="0" applyFont="1" applyFill="1" applyBorder="1" applyAlignment="1">
      <alignment horizontal="left"/>
    </xf>
    <xf numFmtId="164" fontId="9" fillId="0" borderId="1" xfId="0" applyNumberFormat="1" applyFont="1" applyFill="1" applyBorder="1"/>
    <xf numFmtId="164" fontId="9" fillId="0" borderId="22" xfId="0" applyNumberFormat="1" applyFont="1" applyFill="1" applyBorder="1"/>
    <xf numFmtId="0" fontId="13" fillId="0" borderId="3" xfId="0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/>
    </xf>
    <xf numFmtId="164" fontId="13" fillId="0" borderId="2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 vertical="center" wrapText="1"/>
    </xf>
    <xf numFmtId="164" fontId="21" fillId="0" borderId="1" xfId="0" applyNumberFormat="1" applyFont="1" applyFill="1" applyBorder="1" applyAlignment="1">
      <alignment vertical="justify" wrapText="1"/>
    </xf>
    <xf numFmtId="164" fontId="21" fillId="0" borderId="22" xfId="0" applyNumberFormat="1" applyFont="1" applyFill="1" applyBorder="1" applyAlignment="1">
      <alignment vertical="justify" wrapText="1"/>
    </xf>
    <xf numFmtId="0" fontId="21" fillId="0" borderId="2" xfId="0" applyFont="1" applyFill="1" applyBorder="1" applyAlignment="1"/>
    <xf numFmtId="0" fontId="13" fillId="0" borderId="1" xfId="0" applyFont="1" applyFill="1" applyBorder="1" applyAlignment="1">
      <alignment horizontal="left" wrapText="1"/>
    </xf>
    <xf numFmtId="0" fontId="13" fillId="0" borderId="2" xfId="0" applyFont="1" applyFill="1" applyBorder="1" applyAlignment="1"/>
    <xf numFmtId="164" fontId="21" fillId="0" borderId="1" xfId="0" applyNumberFormat="1" applyFont="1" applyFill="1" applyBorder="1" applyAlignment="1">
      <alignment vertical="justify"/>
    </xf>
    <xf numFmtId="164" fontId="21" fillId="0" borderId="22" xfId="0" applyNumberFormat="1" applyFont="1" applyFill="1" applyBorder="1" applyAlignment="1">
      <alignment vertical="justify"/>
    </xf>
    <xf numFmtId="0" fontId="21" fillId="0" borderId="2" xfId="0" applyFont="1" applyFill="1" applyBorder="1" applyAlignment="1">
      <alignment horizontal="center"/>
    </xf>
    <xf numFmtId="164" fontId="21" fillId="0" borderId="1" xfId="0" applyNumberFormat="1" applyFont="1" applyFill="1" applyBorder="1"/>
    <xf numFmtId="164" fontId="21" fillId="0" borderId="22" xfId="0" applyNumberFormat="1" applyFont="1" applyFill="1" applyBorder="1"/>
    <xf numFmtId="16" fontId="13" fillId="0" borderId="1" xfId="0" applyNumberFormat="1" applyFont="1" applyFill="1" applyBorder="1" applyAlignment="1">
      <alignment horizontal="left"/>
    </xf>
    <xf numFmtId="16" fontId="13" fillId="0" borderId="39" xfId="0" applyNumberFormat="1" applyFont="1" applyFill="1" applyBorder="1" applyAlignment="1">
      <alignment horizontal="left"/>
    </xf>
    <xf numFmtId="0" fontId="13" fillId="0" borderId="11" xfId="0" applyFont="1" applyFill="1" applyBorder="1" applyAlignment="1">
      <alignment horizontal="left"/>
    </xf>
    <xf numFmtId="0" fontId="26" fillId="0" borderId="2" xfId="0" applyFont="1" applyBorder="1"/>
    <xf numFmtId="0" fontId="21" fillId="0" borderId="1" xfId="0" applyFont="1" applyBorder="1"/>
    <xf numFmtId="0" fontId="21" fillId="0" borderId="22" xfId="0" applyFont="1" applyBorder="1"/>
    <xf numFmtId="0" fontId="13" fillId="0" borderId="9" xfId="0" applyFont="1" applyFill="1" applyBorder="1" applyAlignment="1">
      <alignment horizontal="center"/>
    </xf>
    <xf numFmtId="164" fontId="13" fillId="0" borderId="50" xfId="0" applyNumberFormat="1" applyFont="1" applyFill="1" applyBorder="1"/>
    <xf numFmtId="164" fontId="13" fillId="0" borderId="17" xfId="0" applyNumberFormat="1" applyFont="1" applyFill="1" applyBorder="1"/>
    <xf numFmtId="164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/>
    <xf numFmtId="0" fontId="21" fillId="0" borderId="1" xfId="0" applyFont="1" applyFill="1" applyBorder="1" applyAlignment="1"/>
    <xf numFmtId="49" fontId="13" fillId="0" borderId="22" xfId="0" applyNumberFormat="1" applyFont="1" applyFill="1" applyBorder="1" applyAlignment="1">
      <alignment horizontal="right"/>
    </xf>
    <xf numFmtId="0" fontId="21" fillId="0" borderId="3" xfId="0" applyFont="1" applyFill="1" applyBorder="1"/>
    <xf numFmtId="0" fontId="21" fillId="0" borderId="2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8" fillId="0" borderId="22" xfId="0" applyNumberFormat="1" applyFont="1" applyFill="1" applyBorder="1" applyAlignment="1">
      <alignment horizontal="center"/>
    </xf>
    <xf numFmtId="0" fontId="21" fillId="0" borderId="27" xfId="0" applyFont="1" applyFill="1" applyBorder="1"/>
    <xf numFmtId="0" fontId="21" fillId="0" borderId="39" xfId="0" applyFont="1" applyFill="1" applyBorder="1"/>
    <xf numFmtId="164" fontId="9" fillId="0" borderId="39" xfId="0" applyNumberFormat="1" applyFont="1" applyFill="1" applyBorder="1"/>
    <xf numFmtId="164" fontId="9" fillId="0" borderId="55" xfId="0" applyNumberFormat="1" applyFont="1" applyFill="1" applyBorder="1"/>
    <xf numFmtId="0" fontId="9" fillId="0" borderId="6" xfId="0" applyFont="1" applyFill="1" applyBorder="1"/>
    <xf numFmtId="0" fontId="9" fillId="0" borderId="6" xfId="0" applyFont="1" applyFill="1" applyBorder="1" applyAlignment="1"/>
    <xf numFmtId="0" fontId="9" fillId="0" borderId="6" xfId="0" applyFont="1" applyBorder="1"/>
    <xf numFmtId="2" fontId="9" fillId="0" borderId="6" xfId="0" applyNumberFormat="1" applyFont="1" applyBorder="1"/>
    <xf numFmtId="2" fontId="9" fillId="0" borderId="54" xfId="0" applyNumberFormat="1" applyFont="1" applyBorder="1"/>
    <xf numFmtId="0" fontId="9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2" fontId="21" fillId="0" borderId="1" xfId="0" applyNumberFormat="1" applyFont="1" applyFill="1" applyBorder="1"/>
    <xf numFmtId="2" fontId="21" fillId="0" borderId="22" xfId="0" applyNumberFormat="1" applyFont="1" applyFill="1" applyBorder="1"/>
    <xf numFmtId="0" fontId="9" fillId="0" borderId="4" xfId="0" applyFont="1" applyFill="1" applyBorder="1"/>
    <xf numFmtId="0" fontId="9" fillId="0" borderId="3" xfId="0" applyFont="1" applyFill="1" applyBorder="1"/>
    <xf numFmtId="164" fontId="9" fillId="0" borderId="3" xfId="0" applyNumberFormat="1" applyFont="1" applyFill="1" applyBorder="1"/>
    <xf numFmtId="164" fontId="9" fillId="0" borderId="23" xfId="0" applyNumberFormat="1" applyFont="1" applyFill="1" applyBorder="1"/>
    <xf numFmtId="0" fontId="9" fillId="0" borderId="2" xfId="0" applyFont="1" applyFill="1" applyBorder="1" applyAlignment="1">
      <alignment horizontal="right"/>
    </xf>
    <xf numFmtId="164" fontId="34" fillId="0" borderId="6" xfId="0" applyNumberFormat="1" applyFont="1" applyFill="1" applyBorder="1"/>
    <xf numFmtId="164" fontId="34" fillId="0" borderId="54" xfId="0" applyNumberFormat="1" applyFont="1" applyFill="1" applyBorder="1"/>
    <xf numFmtId="164" fontId="34" fillId="0" borderId="1" xfId="0" applyNumberFormat="1" applyFont="1" applyFill="1" applyBorder="1"/>
    <xf numFmtId="164" fontId="34" fillId="0" borderId="22" xfId="0" applyNumberFormat="1" applyFont="1" applyFill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164" fontId="35" fillId="0" borderId="13" xfId="0" applyNumberFormat="1" applyFont="1" applyFill="1" applyBorder="1"/>
    <xf numFmtId="164" fontId="35" fillId="0" borderId="14" xfId="0" applyNumberFormat="1" applyFont="1" applyFill="1" applyBorder="1"/>
    <xf numFmtId="164" fontId="36" fillId="0" borderId="6" xfId="0" applyNumberFormat="1" applyFont="1" applyFill="1" applyBorder="1"/>
    <xf numFmtId="164" fontId="36" fillId="0" borderId="54" xfId="0" applyNumberFormat="1" applyFont="1" applyFill="1" applyBorder="1"/>
    <xf numFmtId="164" fontId="36" fillId="0" borderId="1" xfId="0" applyNumberFormat="1" applyFont="1" applyFill="1" applyBorder="1"/>
    <xf numFmtId="164" fontId="36" fillId="0" borderId="22" xfId="0" applyNumberFormat="1" applyFont="1" applyFill="1" applyBorder="1"/>
    <xf numFmtId="164" fontId="37" fillId="0" borderId="13" xfId="0" applyNumberFormat="1" applyFont="1" applyFill="1" applyBorder="1"/>
    <xf numFmtId="164" fontId="37" fillId="0" borderId="14" xfId="0" applyNumberFormat="1" applyFont="1" applyFill="1" applyBorder="1"/>
    <xf numFmtId="164" fontId="34" fillId="0" borderId="13" xfId="0" applyNumberFormat="1" applyFont="1" applyFill="1" applyBorder="1"/>
    <xf numFmtId="164" fontId="34" fillId="0" borderId="1" xfId="0" applyNumberFormat="1" applyFont="1" applyFill="1" applyBorder="1" applyAlignment="1">
      <alignment horizontal="center"/>
    </xf>
    <xf numFmtId="164" fontId="34" fillId="0" borderId="22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left"/>
    </xf>
    <xf numFmtId="164" fontId="34" fillId="0" borderId="1" xfId="0" applyNumberFormat="1" applyFont="1" applyFill="1" applyBorder="1" applyAlignment="1">
      <alignment horizontal="right"/>
    </xf>
    <xf numFmtId="164" fontId="34" fillId="0" borderId="22" xfId="0" applyNumberFormat="1" applyFont="1" applyFill="1" applyBorder="1" applyAlignment="1">
      <alignment horizontal="right"/>
    </xf>
    <xf numFmtId="164" fontId="36" fillId="0" borderId="1" xfId="0" applyNumberFormat="1" applyFont="1" applyFill="1" applyBorder="1" applyAlignment="1">
      <alignment horizontal="center"/>
    </xf>
    <xf numFmtId="164" fontId="36" fillId="0" borderId="22" xfId="0" applyNumberFormat="1" applyFont="1" applyFill="1" applyBorder="1" applyAlignment="1">
      <alignment horizontal="center"/>
    </xf>
    <xf numFmtId="0" fontId="34" fillId="0" borderId="1" xfId="0" applyFont="1" applyFill="1" applyBorder="1" applyAlignment="1"/>
    <xf numFmtId="164" fontId="34" fillId="0" borderId="1" xfId="0" applyNumberFormat="1" applyFont="1" applyFill="1" applyBorder="1" applyAlignment="1"/>
    <xf numFmtId="164" fontId="34" fillId="0" borderId="22" xfId="0" applyNumberFormat="1" applyFont="1" applyFill="1" applyBorder="1" applyAlignment="1"/>
    <xf numFmtId="0" fontId="34" fillId="0" borderId="13" xfId="0" applyFont="1" applyFill="1" applyBorder="1" applyAlignment="1">
      <alignment horizontal="right"/>
    </xf>
    <xf numFmtId="164" fontId="34" fillId="0" borderId="7" xfId="0" applyNumberFormat="1" applyFont="1" applyFill="1" applyBorder="1"/>
    <xf numFmtId="164" fontId="34" fillId="0" borderId="14" xfId="0" applyNumberFormat="1" applyFont="1" applyFill="1" applyBorder="1"/>
    <xf numFmtId="164" fontId="38" fillId="0" borderId="6" xfId="0" applyNumberFormat="1" applyFont="1" applyFill="1" applyBorder="1"/>
    <xf numFmtId="164" fontId="38" fillId="0" borderId="54" xfId="0" applyNumberFormat="1" applyFont="1" applyFill="1" applyBorder="1"/>
    <xf numFmtId="164" fontId="38" fillId="0" borderId="1" xfId="0" applyNumberFormat="1" applyFont="1" applyFill="1" applyBorder="1"/>
    <xf numFmtId="164" fontId="38" fillId="0" borderId="22" xfId="0" applyNumberFormat="1" applyFont="1" applyFill="1" applyBorder="1"/>
    <xf numFmtId="0" fontId="38" fillId="0" borderId="1" xfId="0" applyFont="1" applyFill="1" applyBorder="1"/>
    <xf numFmtId="164" fontId="34" fillId="0" borderId="15" xfId="0" applyNumberFormat="1" applyFont="1" applyFill="1" applyBorder="1"/>
    <xf numFmtId="164" fontId="35" fillId="0" borderId="6" xfId="0" applyNumberFormat="1" applyFont="1" applyFill="1" applyBorder="1"/>
    <xf numFmtId="164" fontId="35" fillId="0" borderId="54" xfId="0" applyNumberFormat="1" applyFont="1" applyFill="1" applyBorder="1"/>
    <xf numFmtId="164" fontId="35" fillId="0" borderId="1" xfId="0" applyNumberFormat="1" applyFont="1" applyFill="1" applyBorder="1"/>
    <xf numFmtId="164" fontId="35" fillId="0" borderId="22" xfId="0" applyNumberFormat="1" applyFont="1" applyFill="1" applyBorder="1"/>
    <xf numFmtId="164" fontId="34" fillId="0" borderId="21" xfId="0" applyNumberFormat="1" applyFont="1" applyFill="1" applyBorder="1"/>
    <xf numFmtId="164" fontId="34" fillId="0" borderId="49" xfId="0" applyNumberFormat="1" applyFont="1" applyFill="1" applyBorder="1"/>
    <xf numFmtId="0" fontId="15" fillId="2" borderId="58" xfId="0" applyFont="1" applyFill="1" applyBorder="1" applyAlignment="1">
      <alignment horizontal="center" textRotation="90"/>
    </xf>
    <xf numFmtId="0" fontId="15" fillId="2" borderId="59" xfId="0" applyFont="1" applyFill="1" applyBorder="1" applyAlignment="1">
      <alignment horizontal="center" textRotation="90"/>
    </xf>
    <xf numFmtId="0" fontId="34" fillId="0" borderId="1" xfId="0" applyFont="1" applyFill="1" applyBorder="1" applyAlignment="1">
      <alignment horizontal="right"/>
    </xf>
    <xf numFmtId="164" fontId="34" fillId="0" borderId="3" xfId="0" applyNumberFormat="1" applyFont="1" applyFill="1" applyBorder="1" applyAlignment="1">
      <alignment horizontal="right"/>
    </xf>
    <xf numFmtId="164" fontId="34" fillId="0" borderId="23" xfId="0" applyNumberFormat="1" applyFont="1" applyFill="1" applyBorder="1" applyAlignment="1">
      <alignment horizontal="right"/>
    </xf>
    <xf numFmtId="164" fontId="35" fillId="0" borderId="1" xfId="0" applyNumberFormat="1" applyFont="1" applyFill="1" applyBorder="1" applyAlignment="1">
      <alignment horizontal="right"/>
    </xf>
    <xf numFmtId="164" fontId="35" fillId="0" borderId="22" xfId="0" applyNumberFormat="1" applyFont="1" applyFill="1" applyBorder="1" applyAlignment="1">
      <alignment horizontal="right"/>
    </xf>
    <xf numFmtId="164" fontId="39" fillId="0" borderId="1" xfId="0" applyNumberFormat="1" applyFont="1" applyFill="1" applyBorder="1"/>
    <xf numFmtId="0" fontId="39" fillId="0" borderId="22" xfId="0" applyFont="1" applyBorder="1"/>
    <xf numFmtId="0" fontId="39" fillId="0" borderId="1" xfId="0" applyFont="1" applyBorder="1"/>
    <xf numFmtId="0" fontId="13" fillId="0" borderId="46" xfId="0" applyFont="1" applyFill="1" applyBorder="1" applyAlignment="1">
      <alignment horizontal="left"/>
    </xf>
    <xf numFmtId="49" fontId="9" fillId="0" borderId="2" xfId="0" applyNumberFormat="1" applyFont="1" applyFill="1" applyBorder="1" applyAlignment="1">
      <alignment horizontal="center"/>
    </xf>
    <xf numFmtId="0" fontId="15" fillId="2" borderId="57" xfId="0" applyFont="1" applyFill="1" applyBorder="1" applyAlignment="1">
      <alignment horizontal="center" textRotation="90" wrapText="1"/>
    </xf>
    <xf numFmtId="0" fontId="9" fillId="0" borderId="5" xfId="0" applyFont="1" applyFill="1" applyBorder="1" applyAlignment="1">
      <alignment horizontal="center" wrapText="1"/>
    </xf>
    <xf numFmtId="0" fontId="13" fillId="0" borderId="15" xfId="0" applyFont="1" applyFill="1" applyBorder="1" applyAlignment="1">
      <alignment wrapText="1"/>
    </xf>
    <xf numFmtId="0" fontId="13" fillId="0" borderId="15" xfId="0" applyFont="1" applyFill="1" applyBorder="1" applyAlignment="1">
      <alignment horizontal="right" wrapText="1"/>
    </xf>
    <xf numFmtId="0" fontId="13" fillId="0" borderId="35" xfId="0" applyFont="1" applyFill="1" applyBorder="1" applyAlignment="1">
      <alignment horizontal="right" wrapText="1"/>
    </xf>
    <xf numFmtId="0" fontId="9" fillId="0" borderId="9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wrapText="1"/>
    </xf>
    <xf numFmtId="0" fontId="13" fillId="0" borderId="6" xfId="0" applyFont="1" applyFill="1" applyBorder="1" applyAlignment="1">
      <alignment horizontal="right" wrapText="1"/>
    </xf>
    <xf numFmtId="0" fontId="13" fillId="0" borderId="54" xfId="0" applyFont="1" applyFill="1" applyBorder="1" applyAlignment="1">
      <alignment horizontal="right" wrapText="1"/>
    </xf>
    <xf numFmtId="0" fontId="9" fillId="0" borderId="16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 wrapText="1"/>
    </xf>
    <xf numFmtId="0" fontId="13" fillId="0" borderId="62" xfId="0" applyFont="1" applyFill="1" applyBorder="1" applyAlignment="1">
      <alignment horizontal="left" wrapText="1"/>
    </xf>
    <xf numFmtId="0" fontId="13" fillId="0" borderId="62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13" fillId="0" borderId="1" xfId="0" applyNumberFormat="1" applyFont="1" applyFill="1" applyBorder="1" applyAlignment="1">
      <alignment horizontal="left" wrapText="1"/>
    </xf>
    <xf numFmtId="49" fontId="13" fillId="0" borderId="22" xfId="0" applyNumberFormat="1" applyFont="1" applyFill="1" applyBorder="1" applyAlignment="1">
      <alignment horizontal="left" wrapText="1"/>
    </xf>
    <xf numFmtId="0" fontId="9" fillId="0" borderId="31" xfId="0" applyFont="1" applyFill="1" applyBorder="1" applyAlignment="1">
      <alignment horizontal="center"/>
    </xf>
    <xf numFmtId="0" fontId="13" fillId="0" borderId="34" xfId="0" applyFont="1" applyFill="1" applyBorder="1"/>
    <xf numFmtId="0" fontId="21" fillId="0" borderId="34" xfId="0" applyFont="1" applyFill="1" applyBorder="1"/>
    <xf numFmtId="164" fontId="34" fillId="0" borderId="34" xfId="0" applyNumberFormat="1" applyFont="1" applyFill="1" applyBorder="1" applyAlignment="1">
      <alignment horizontal="right"/>
    </xf>
    <xf numFmtId="164" fontId="34" fillId="0" borderId="32" xfId="0" applyNumberFormat="1" applyFont="1" applyFill="1" applyBorder="1" applyAlignment="1">
      <alignment horizontal="right"/>
    </xf>
    <xf numFmtId="0" fontId="22" fillId="0" borderId="67" xfId="0" applyFont="1" applyFill="1" applyBorder="1" applyAlignment="1">
      <alignment horizontal="center" textRotation="45" wrapText="1"/>
    </xf>
    <xf numFmtId="0" fontId="11" fillId="0" borderId="58" xfId="0" applyFont="1" applyFill="1" applyBorder="1" applyAlignment="1">
      <alignment horizontal="center" textRotation="45" wrapText="1"/>
    </xf>
    <xf numFmtId="0" fontId="22" fillId="0" borderId="59" xfId="0" applyFont="1" applyFill="1" applyBorder="1" applyAlignment="1">
      <alignment horizontal="center" textRotation="45" wrapText="1"/>
    </xf>
    <xf numFmtId="0" fontId="6" fillId="0" borderId="36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left" vertical="center" textRotation="45"/>
    </xf>
    <xf numFmtId="0" fontId="22" fillId="0" borderId="20" xfId="0" applyFont="1" applyFill="1" applyBorder="1" applyAlignment="1">
      <alignment horizontal="left" vertical="center" textRotation="45"/>
    </xf>
    <xf numFmtId="0" fontId="22" fillId="0" borderId="30" xfId="0" applyFont="1" applyFill="1" applyBorder="1" applyAlignment="1">
      <alignment horizontal="left" vertical="center" textRotation="45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22" fillId="0" borderId="26" xfId="0" applyFont="1" applyFill="1" applyBorder="1" applyAlignment="1">
      <alignment horizontal="center" textRotation="45"/>
    </xf>
    <xf numFmtId="0" fontId="11" fillId="0" borderId="20" xfId="0" applyFont="1" applyFill="1" applyBorder="1" applyAlignment="1">
      <alignment horizontal="center" textRotation="45"/>
    </xf>
    <xf numFmtId="0" fontId="22" fillId="0" borderId="20" xfId="0" applyFont="1" applyFill="1" applyBorder="1" applyAlignment="1">
      <alignment horizontal="center" textRotation="45"/>
    </xf>
    <xf numFmtId="0" fontId="22" fillId="0" borderId="30" xfId="0" applyFont="1" applyFill="1" applyBorder="1" applyAlignment="1">
      <alignment horizontal="center" textRotation="45"/>
    </xf>
    <xf numFmtId="0" fontId="13" fillId="0" borderId="0" xfId="0" applyFont="1" applyFill="1" applyBorder="1" applyAlignment="1">
      <alignment horizontal="center"/>
    </xf>
    <xf numFmtId="0" fontId="22" fillId="0" borderId="57" xfId="0" applyFont="1" applyFill="1" applyBorder="1" applyAlignment="1">
      <alignment horizontal="center" textRotation="45"/>
    </xf>
    <xf numFmtId="0" fontId="11" fillId="0" borderId="58" xfId="0" applyFont="1" applyFill="1" applyBorder="1" applyAlignment="1">
      <alignment horizontal="center" textRotation="45"/>
    </xf>
    <xf numFmtId="0" fontId="22" fillId="0" borderId="68" xfId="0" applyFont="1" applyFill="1" applyBorder="1" applyAlignment="1">
      <alignment horizontal="center" textRotation="45"/>
    </xf>
    <xf numFmtId="0" fontId="13" fillId="0" borderId="33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22" fillId="0" borderId="58" xfId="0" applyFont="1" applyFill="1" applyBorder="1" applyAlignment="1">
      <alignment horizontal="center" textRotation="45"/>
    </xf>
    <xf numFmtId="0" fontId="22" fillId="0" borderId="59" xfId="0" applyFont="1" applyFill="1" applyBorder="1" applyAlignment="1">
      <alignment horizontal="center" textRotation="45"/>
    </xf>
    <xf numFmtId="0" fontId="11" fillId="0" borderId="67" xfId="0" applyFont="1" applyFill="1" applyBorder="1" applyAlignment="1">
      <alignment horizontal="center" textRotation="45"/>
    </xf>
    <xf numFmtId="0" fontId="22" fillId="0" borderId="57" xfId="0" applyFont="1" applyFill="1" applyBorder="1" applyAlignment="1">
      <alignment horizontal="center" textRotation="45" wrapText="1"/>
    </xf>
    <xf numFmtId="0" fontId="22" fillId="0" borderId="58" xfId="0" applyFont="1" applyFill="1" applyBorder="1" applyAlignment="1">
      <alignment horizontal="center" textRotation="45" wrapText="1"/>
    </xf>
    <xf numFmtId="0" fontId="22" fillId="0" borderId="68" xfId="0" applyFont="1" applyFill="1" applyBorder="1" applyAlignment="1">
      <alignment horizontal="center" textRotation="45" wrapText="1"/>
    </xf>
    <xf numFmtId="0" fontId="7" fillId="0" borderId="17" xfId="0" applyFont="1" applyFill="1" applyBorder="1" applyAlignment="1">
      <alignment horizontal="left" vertical="center" textRotation="45"/>
    </xf>
    <xf numFmtId="0" fontId="22" fillId="0" borderId="19" xfId="0" applyFont="1" applyFill="1" applyBorder="1" applyAlignment="1">
      <alignment horizontal="left" vertical="center" textRotation="45"/>
    </xf>
    <xf numFmtId="0" fontId="7" fillId="0" borderId="26" xfId="0" applyFont="1" applyFill="1" applyBorder="1" applyAlignment="1">
      <alignment horizontal="center" vertical="center" textRotation="45"/>
    </xf>
    <xf numFmtId="0" fontId="22" fillId="0" borderId="20" xfId="0" applyFont="1" applyFill="1" applyBorder="1" applyAlignment="1">
      <alignment horizontal="center" vertical="center" textRotation="45"/>
    </xf>
    <xf numFmtId="0" fontId="6" fillId="0" borderId="30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 vertical="center" textRotation="45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22" fillId="0" borderId="57" xfId="0" applyFont="1" applyFill="1" applyBorder="1" applyAlignment="1">
      <alignment textRotation="45" wrapText="1"/>
    </xf>
    <xf numFmtId="0" fontId="22" fillId="0" borderId="58" xfId="0" applyFont="1" applyFill="1" applyBorder="1" applyAlignment="1">
      <alignment textRotation="45" wrapText="1"/>
    </xf>
    <xf numFmtId="0" fontId="22" fillId="0" borderId="68" xfId="0" applyFont="1" applyFill="1" applyBorder="1" applyAlignment="1">
      <alignment textRotation="45" wrapText="1"/>
    </xf>
    <xf numFmtId="0" fontId="22" fillId="0" borderId="26" xfId="0" applyFont="1" applyFill="1" applyBorder="1" applyAlignment="1">
      <alignment horizontal="center" textRotation="45" wrapText="1"/>
    </xf>
    <xf numFmtId="0" fontId="22" fillId="0" borderId="20" xfId="0" applyFont="1" applyFill="1" applyBorder="1" applyAlignment="1">
      <alignment horizontal="center" textRotation="45" wrapText="1"/>
    </xf>
    <xf numFmtId="0" fontId="11" fillId="0" borderId="20" xfId="0" applyFont="1" applyFill="1" applyBorder="1" applyAlignment="1">
      <alignment horizontal="center" textRotation="45" wrapText="1"/>
    </xf>
    <xf numFmtId="0" fontId="11" fillId="0" borderId="68" xfId="0" applyFont="1" applyFill="1" applyBorder="1" applyAlignment="1">
      <alignment horizontal="center" textRotation="45" wrapText="1"/>
    </xf>
    <xf numFmtId="0" fontId="22" fillId="0" borderId="26" xfId="0" applyFont="1" applyFill="1" applyBorder="1" applyAlignment="1">
      <alignment horizontal="center" vertical="center" textRotation="45"/>
    </xf>
    <xf numFmtId="0" fontId="22" fillId="0" borderId="30" xfId="0" applyFont="1" applyFill="1" applyBorder="1" applyAlignment="1">
      <alignment horizontal="center" vertical="center" textRotation="45"/>
    </xf>
    <xf numFmtId="164" fontId="28" fillId="0" borderId="1" xfId="0" applyNumberFormat="1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/>
    </xf>
    <xf numFmtId="164" fontId="12" fillId="0" borderId="46" xfId="0" applyNumberFormat="1" applyFont="1" applyFill="1" applyBorder="1" applyAlignment="1">
      <alignment horizontal="center"/>
    </xf>
    <xf numFmtId="164" fontId="12" fillId="0" borderId="69" xfId="0" applyNumberFormat="1" applyFont="1" applyFill="1" applyBorder="1" applyAlignment="1">
      <alignment horizontal="center"/>
    </xf>
    <xf numFmtId="164" fontId="12" fillId="0" borderId="60" xfId="0" applyNumberFormat="1" applyFont="1" applyFill="1" applyBorder="1" applyAlignment="1">
      <alignment horizontal="center"/>
    </xf>
    <xf numFmtId="164" fontId="12" fillId="0" borderId="64" xfId="0" applyNumberFormat="1" applyFont="1" applyFill="1" applyBorder="1" applyAlignment="1">
      <alignment horizontal="center"/>
    </xf>
    <xf numFmtId="164" fontId="12" fillId="0" borderId="70" xfId="0" applyNumberFormat="1" applyFont="1" applyFill="1" applyBorder="1" applyAlignment="1">
      <alignment horizontal="center"/>
    </xf>
    <xf numFmtId="164" fontId="12" fillId="0" borderId="63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left" wrapText="1"/>
    </xf>
    <xf numFmtId="0" fontId="13" fillId="0" borderId="5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3" fillId="0" borderId="56" xfId="0" applyFont="1" applyFill="1" applyBorder="1" applyAlignment="1">
      <alignment vertical="center" wrapText="1"/>
    </xf>
    <xf numFmtId="164" fontId="9" fillId="0" borderId="26" xfId="0" applyNumberFormat="1" applyFont="1" applyFill="1" applyBorder="1" applyAlignment="1">
      <alignment horizontal="center" wrapText="1"/>
    </xf>
    <xf numFmtId="164" fontId="9" fillId="0" borderId="18" xfId="0" applyNumberFormat="1" applyFont="1" applyFill="1" applyBorder="1" applyAlignment="1">
      <alignment horizontal="center" wrapText="1"/>
    </xf>
    <xf numFmtId="164" fontId="9" fillId="0" borderId="20" xfId="0" applyNumberFormat="1" applyFont="1" applyFill="1" applyBorder="1" applyAlignment="1">
      <alignment horizontal="center" wrapText="1"/>
    </xf>
    <xf numFmtId="164" fontId="9" fillId="0" borderId="8" xfId="0" applyNumberFormat="1" applyFont="1" applyFill="1" applyBorder="1" applyAlignment="1">
      <alignment horizontal="center" wrapText="1"/>
    </xf>
    <xf numFmtId="164" fontId="9" fillId="0" borderId="30" xfId="0" applyNumberFormat="1" applyFont="1" applyFill="1" applyBorder="1" applyAlignment="1">
      <alignment horizontal="center" wrapText="1"/>
    </xf>
    <xf numFmtId="164" fontId="9" fillId="0" borderId="25" xfId="0" applyNumberFormat="1" applyFont="1" applyFill="1" applyBorder="1" applyAlignment="1">
      <alignment horizontal="center" wrapText="1"/>
    </xf>
    <xf numFmtId="0" fontId="13" fillId="0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67" xfId="0" applyFont="1" applyFill="1" applyBorder="1" applyAlignment="1">
      <alignment horizontal="center" vertical="center"/>
    </xf>
    <xf numFmtId="0" fontId="13" fillId="0" borderId="71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2" fontId="13" fillId="0" borderId="17" xfId="0" applyNumberFormat="1" applyFont="1" applyFill="1" applyBorder="1" applyAlignment="1">
      <alignment horizontal="center" wrapText="1"/>
    </xf>
    <xf numFmtId="2" fontId="13" fillId="0" borderId="19" xfId="0" applyNumberFormat="1" applyFont="1" applyFill="1" applyBorder="1" applyAlignment="1">
      <alignment horizontal="center" wrapText="1"/>
    </xf>
    <xf numFmtId="2" fontId="13" fillId="0" borderId="56" xfId="0" applyNumberFormat="1" applyFont="1" applyFill="1" applyBorder="1" applyAlignment="1">
      <alignment horizontal="center" wrapText="1"/>
    </xf>
    <xf numFmtId="0" fontId="15" fillId="0" borderId="26" xfId="0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textRotation="90"/>
    </xf>
    <xf numFmtId="49" fontId="8" fillId="0" borderId="26" xfId="0" applyNumberFormat="1" applyFont="1" applyFill="1" applyBorder="1" applyAlignment="1">
      <alignment horizontal="left"/>
    </xf>
    <xf numFmtId="49" fontId="8" fillId="0" borderId="18" xfId="0" applyNumberFormat="1" applyFont="1" applyFill="1" applyBorder="1" applyAlignment="1">
      <alignment horizontal="left"/>
    </xf>
    <xf numFmtId="0" fontId="17" fillId="0" borderId="6" xfId="0" applyFont="1" applyFill="1" applyBorder="1" applyAlignment="1">
      <alignment horizontal="center"/>
    </xf>
    <xf numFmtId="49" fontId="8" fillId="0" borderId="29" xfId="0" applyNumberFormat="1" applyFont="1" applyFill="1" applyBorder="1" applyAlignment="1">
      <alignment horizontal="left"/>
    </xf>
    <xf numFmtId="0" fontId="10" fillId="0" borderId="6" xfId="0" applyFont="1" applyFill="1" applyBorder="1" applyAlignment="1">
      <alignment horizontal="center"/>
    </xf>
    <xf numFmtId="49" fontId="8" fillId="2" borderId="26" xfId="0" applyNumberFormat="1" applyFont="1" applyFill="1" applyBorder="1" applyAlignment="1">
      <alignment horizontal="left"/>
    </xf>
    <xf numFmtId="49" fontId="8" fillId="2" borderId="18" xfId="0" applyNumberFormat="1" applyFont="1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49" fontId="8" fillId="2" borderId="29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 vertical="center" textRotation="90"/>
    </xf>
    <xf numFmtId="0" fontId="15" fillId="2" borderId="1" xfId="0" applyFont="1" applyFill="1" applyBorder="1" applyAlignment="1">
      <alignment horizontal="center" vertical="center" textRotation="90"/>
    </xf>
    <xf numFmtId="0" fontId="15" fillId="2" borderId="3" xfId="0" applyFont="1" applyFill="1" applyBorder="1" applyAlignment="1">
      <alignment horizontal="center" vertical="center" textRotation="90"/>
    </xf>
    <xf numFmtId="0" fontId="15" fillId="0" borderId="30" xfId="0" applyFont="1" applyFill="1" applyBorder="1" applyAlignment="1">
      <alignment horizontal="center" vertical="center" textRotation="90"/>
    </xf>
    <xf numFmtId="0" fontId="17" fillId="0" borderId="9" xfId="0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 vertical="center" textRotation="90"/>
    </xf>
    <xf numFmtId="49" fontId="8" fillId="2" borderId="52" xfId="0" applyNumberFormat="1" applyFont="1" applyFill="1" applyBorder="1" applyAlignment="1">
      <alignment horizontal="left"/>
    </xf>
    <xf numFmtId="49" fontId="8" fillId="2" borderId="51" xfId="0" applyNumberFormat="1" applyFont="1" applyFill="1" applyBorder="1" applyAlignment="1">
      <alignment horizontal="left"/>
    </xf>
    <xf numFmtId="0" fontId="15" fillId="0" borderId="57" xfId="0" applyFont="1" applyFill="1" applyBorder="1" applyAlignment="1">
      <alignment horizontal="center" textRotation="90"/>
    </xf>
    <xf numFmtId="0" fontId="15" fillId="0" borderId="58" xfId="0" applyFont="1" applyFill="1" applyBorder="1" applyAlignment="1">
      <alignment horizontal="center" textRotation="90"/>
    </xf>
    <xf numFmtId="0" fontId="15" fillId="0" borderId="59" xfId="0" applyFont="1" applyFill="1" applyBorder="1" applyAlignment="1">
      <alignment horizontal="center" textRotation="90"/>
    </xf>
    <xf numFmtId="0" fontId="15" fillId="2" borderId="6" xfId="0" applyFont="1" applyFill="1" applyBorder="1" applyAlignment="1">
      <alignment horizontal="center" textRotation="90"/>
    </xf>
    <xf numFmtId="0" fontId="15" fillId="2" borderId="1" xfId="0" applyFont="1" applyFill="1" applyBorder="1" applyAlignment="1">
      <alignment horizontal="center" textRotation="90"/>
    </xf>
    <xf numFmtId="0" fontId="15" fillId="2" borderId="3" xfId="0" applyFont="1" applyFill="1" applyBorder="1" applyAlignment="1">
      <alignment horizontal="center" textRotation="90"/>
    </xf>
    <xf numFmtId="49" fontId="8" fillId="0" borderId="52" xfId="0" applyNumberFormat="1" applyFont="1" applyFill="1" applyBorder="1" applyAlignment="1">
      <alignment horizontal="left"/>
    </xf>
    <xf numFmtId="49" fontId="8" fillId="0" borderId="51" xfId="0" applyNumberFormat="1" applyFont="1" applyFill="1" applyBorder="1" applyAlignment="1">
      <alignment horizontal="left"/>
    </xf>
    <xf numFmtId="0" fontId="17" fillId="2" borderId="52" xfId="0" applyFont="1" applyFill="1" applyBorder="1" applyAlignment="1">
      <alignment horizontal="center"/>
    </xf>
    <xf numFmtId="0" fontId="17" fillId="2" borderId="49" xfId="0" applyFont="1" applyFill="1" applyBorder="1" applyAlignment="1">
      <alignment horizontal="center"/>
    </xf>
    <xf numFmtId="0" fontId="10" fillId="2" borderId="52" xfId="0" applyFont="1" applyFill="1" applyBorder="1" applyAlignment="1">
      <alignment horizontal="center"/>
    </xf>
    <xf numFmtId="0" fontId="10" fillId="2" borderId="49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 vertical="center" textRotation="90"/>
    </xf>
    <xf numFmtId="0" fontId="15" fillId="2" borderId="20" xfId="0" applyFont="1" applyFill="1" applyBorder="1" applyAlignment="1">
      <alignment horizontal="center" vertical="center" textRotation="90"/>
    </xf>
    <xf numFmtId="0" fontId="15" fillId="2" borderId="30" xfId="0" applyFont="1" applyFill="1" applyBorder="1" applyAlignment="1">
      <alignment horizontal="center" vertical="center" textRotation="90"/>
    </xf>
    <xf numFmtId="0" fontId="15" fillId="2" borderId="17" xfId="0" applyFont="1" applyFill="1" applyBorder="1" applyAlignment="1">
      <alignment horizontal="center" textRotation="86"/>
    </xf>
    <xf numFmtId="0" fontId="15" fillId="2" borderId="19" xfId="0" applyFont="1" applyFill="1" applyBorder="1" applyAlignment="1">
      <alignment horizontal="center" textRotation="86"/>
    </xf>
    <xf numFmtId="0" fontId="15" fillId="2" borderId="20" xfId="0" applyFont="1" applyFill="1" applyBorder="1" applyAlignment="1">
      <alignment horizontal="center" textRotation="86"/>
    </xf>
    <xf numFmtId="0" fontId="15" fillId="2" borderId="30" xfId="0" applyFont="1" applyFill="1" applyBorder="1" applyAlignment="1">
      <alignment horizontal="center" textRotation="86"/>
    </xf>
    <xf numFmtId="0" fontId="15" fillId="2" borderId="57" xfId="0" applyFont="1" applyFill="1" applyBorder="1" applyAlignment="1">
      <alignment horizontal="center" vertical="center" textRotation="90"/>
    </xf>
    <xf numFmtId="0" fontId="15" fillId="2" borderId="58" xfId="0" applyFont="1" applyFill="1" applyBorder="1" applyAlignment="1">
      <alignment horizontal="center" vertical="center" textRotation="90"/>
    </xf>
    <xf numFmtId="0" fontId="15" fillId="2" borderId="59" xfId="0" applyFont="1" applyFill="1" applyBorder="1" applyAlignment="1">
      <alignment horizontal="center" vertical="center" textRotation="90"/>
    </xf>
    <xf numFmtId="164" fontId="13" fillId="2" borderId="11" xfId="0" applyNumberFormat="1" applyFont="1" applyFill="1" applyBorder="1" applyAlignment="1">
      <alignment horizontal="center"/>
    </xf>
    <xf numFmtId="164" fontId="13" fillId="2" borderId="24" xfId="0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164" fontId="13" fillId="2" borderId="36" xfId="0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56" xfId="0" applyFont="1" applyFill="1" applyBorder="1" applyAlignment="1">
      <alignment horizontal="center"/>
    </xf>
    <xf numFmtId="164" fontId="13" fillId="2" borderId="15" xfId="0" applyNumberFormat="1" applyFont="1" applyFill="1" applyBorder="1" applyAlignment="1">
      <alignment horizontal="center"/>
    </xf>
    <xf numFmtId="0" fontId="12" fillId="2" borderId="52" xfId="0" applyFont="1" applyFill="1" applyBorder="1" applyAlignment="1">
      <alignment horizontal="center"/>
    </xf>
    <xf numFmtId="0" fontId="12" fillId="2" borderId="31" xfId="0" applyFont="1" applyFill="1" applyBorder="1" applyAlignment="1">
      <alignment horizontal="center"/>
    </xf>
    <xf numFmtId="164" fontId="13" fillId="2" borderId="6" xfId="0" applyNumberFormat="1" applyFont="1" applyFill="1" applyBorder="1" applyAlignment="1">
      <alignment horizontal="center"/>
    </xf>
    <xf numFmtId="164" fontId="13" fillId="2" borderId="54" xfId="0" applyNumberFormat="1" applyFont="1" applyFill="1" applyBorder="1" applyAlignment="1">
      <alignment horizontal="center"/>
    </xf>
    <xf numFmtId="164" fontId="13" fillId="2" borderId="21" xfId="0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39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5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3"/>
  <sheetViews>
    <sheetView topLeftCell="A73" zoomScaleNormal="100" zoomScaleSheetLayoutView="100" workbookViewId="0">
      <selection activeCell="Q52" sqref="Q52:T69"/>
    </sheetView>
  </sheetViews>
  <sheetFormatPr defaultRowHeight="13" x14ac:dyDescent="0.3"/>
  <cols>
    <col min="1" max="1" width="5.7265625" style="62" customWidth="1"/>
    <col min="2" max="2" width="33.26953125" style="29" customWidth="1"/>
    <col min="3" max="4" width="8.54296875" style="73" customWidth="1"/>
    <col min="5" max="8" width="7.7265625" style="29" customWidth="1"/>
    <col min="9" max="9" width="7" style="29" customWidth="1"/>
    <col min="10" max="10" width="7.7265625" style="29" customWidth="1"/>
    <col min="11" max="11" width="7.81640625" style="29" customWidth="1"/>
    <col min="12" max="14" width="7.7265625" style="29" customWidth="1"/>
    <col min="15" max="15" width="7.7265625" style="38" customWidth="1"/>
    <col min="16" max="19" width="9.1796875" style="8" customWidth="1"/>
    <col min="20" max="21" width="9.1796875" style="53" customWidth="1"/>
  </cols>
  <sheetData>
    <row r="1" spans="1:21" ht="12.5" x14ac:dyDescent="0.25">
      <c r="A1" s="782" t="s">
        <v>145</v>
      </c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3"/>
      <c r="Q1" s="3"/>
      <c r="R1" s="3"/>
      <c r="S1" s="3"/>
      <c r="T1" s="57"/>
      <c r="U1" s="57"/>
    </row>
    <row r="2" spans="1:21" ht="12.5" x14ac:dyDescent="0.25">
      <c r="A2" s="782" t="s">
        <v>146</v>
      </c>
      <c r="B2" s="782"/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3"/>
      <c r="Q2" s="3"/>
      <c r="R2" s="3"/>
      <c r="S2" s="3"/>
      <c r="T2" s="57"/>
      <c r="U2" s="57"/>
    </row>
    <row r="3" spans="1:21" ht="15" customHeight="1" thickBot="1" x14ac:dyDescent="0.35">
      <c r="A3" s="783" t="s">
        <v>304</v>
      </c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3"/>
      <c r="P3" s="4"/>
      <c r="Q3" s="4"/>
      <c r="R3" s="4"/>
      <c r="S3" s="4"/>
      <c r="T3" s="59"/>
      <c r="U3" s="59"/>
    </row>
    <row r="4" spans="1:21" ht="15" customHeight="1" thickBot="1" x14ac:dyDescent="0.4">
      <c r="A4" s="736" t="s">
        <v>173</v>
      </c>
      <c r="B4" s="737"/>
      <c r="C4" s="785"/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7"/>
      <c r="O4" s="738"/>
      <c r="P4" s="55"/>
      <c r="Q4" s="55"/>
      <c r="R4" s="55"/>
      <c r="S4" s="55"/>
      <c r="T4" s="56"/>
      <c r="U4" s="56"/>
    </row>
    <row r="5" spans="1:21" ht="12" customHeight="1" thickBot="1" x14ac:dyDescent="0.35">
      <c r="A5" s="774" t="s">
        <v>161</v>
      </c>
      <c r="B5" s="91" t="s">
        <v>74</v>
      </c>
      <c r="C5" s="766" t="s">
        <v>76</v>
      </c>
      <c r="D5" s="767"/>
      <c r="E5" s="754" t="s">
        <v>101</v>
      </c>
      <c r="F5" s="754"/>
      <c r="G5" s="754"/>
      <c r="H5" s="754"/>
      <c r="I5" s="754"/>
      <c r="J5" s="755"/>
      <c r="K5" s="739" t="s">
        <v>160</v>
      </c>
      <c r="L5" s="740"/>
      <c r="M5" s="739" t="s">
        <v>80</v>
      </c>
      <c r="N5" s="740"/>
      <c r="O5" s="746" t="s">
        <v>209</v>
      </c>
    </row>
    <row r="6" spans="1:21" ht="12" customHeight="1" thickBot="1" x14ac:dyDescent="0.35">
      <c r="A6" s="775"/>
      <c r="B6" s="111" t="s">
        <v>75</v>
      </c>
      <c r="C6" s="749" t="s">
        <v>75</v>
      </c>
      <c r="D6" s="750"/>
      <c r="E6" s="766" t="s">
        <v>77</v>
      </c>
      <c r="F6" s="767"/>
      <c r="G6" s="766" t="s">
        <v>78</v>
      </c>
      <c r="H6" s="767"/>
      <c r="I6" s="766" t="s">
        <v>79</v>
      </c>
      <c r="J6" s="767"/>
      <c r="K6" s="784"/>
      <c r="L6" s="748"/>
      <c r="M6" s="787"/>
      <c r="N6" s="748"/>
      <c r="O6" s="747"/>
    </row>
    <row r="7" spans="1:21" ht="12" customHeight="1" thickBot="1" x14ac:dyDescent="0.35">
      <c r="A7" s="775"/>
      <c r="B7" s="231"/>
      <c r="C7" s="232" t="s">
        <v>158</v>
      </c>
      <c r="D7" s="233" t="s">
        <v>159</v>
      </c>
      <c r="E7" s="75" t="s">
        <v>158</v>
      </c>
      <c r="F7" s="74" t="s">
        <v>159</v>
      </c>
      <c r="G7" s="74" t="s">
        <v>158</v>
      </c>
      <c r="H7" s="74" t="s">
        <v>159</v>
      </c>
      <c r="I7" s="74" t="s">
        <v>158</v>
      </c>
      <c r="J7" s="74" t="s">
        <v>159</v>
      </c>
      <c r="K7" s="74" t="s">
        <v>158</v>
      </c>
      <c r="L7" s="74" t="s">
        <v>159</v>
      </c>
      <c r="M7" s="74" t="s">
        <v>158</v>
      </c>
      <c r="N7" s="74" t="s">
        <v>159</v>
      </c>
      <c r="O7" s="748"/>
      <c r="Q7" s="414">
        <v>185</v>
      </c>
      <c r="R7" s="415" t="s">
        <v>375</v>
      </c>
      <c r="S7" s="416">
        <v>155</v>
      </c>
      <c r="T7" s="417">
        <v>205</v>
      </c>
    </row>
    <row r="8" spans="1:21" s="89" customFormat="1" ht="12" customHeight="1" x14ac:dyDescent="0.3">
      <c r="A8" s="762" t="s">
        <v>81</v>
      </c>
      <c r="B8" s="27" t="s">
        <v>324</v>
      </c>
      <c r="C8" s="20">
        <v>200</v>
      </c>
      <c r="D8" s="20">
        <v>250</v>
      </c>
      <c r="E8" s="234">
        <f>28.99*200/1000</f>
        <v>5.798</v>
      </c>
      <c r="F8" s="234">
        <f>28.99*250/1000</f>
        <v>7.2474999999999996</v>
      </c>
      <c r="G8" s="234">
        <f>27.39*200/1000</f>
        <v>5.4779999999999998</v>
      </c>
      <c r="H8" s="234">
        <f>27.39*250/1000</f>
        <v>6.8475000000000001</v>
      </c>
      <c r="I8" s="234">
        <f>92.86*200/1000</f>
        <v>18.571999999999999</v>
      </c>
      <c r="J8" s="234">
        <f>92.86*250/1000</f>
        <v>23.215</v>
      </c>
      <c r="K8" s="234">
        <f>734*200/1000</f>
        <v>146.80000000000001</v>
      </c>
      <c r="L8" s="234">
        <f>734*250/1000</f>
        <v>183.5</v>
      </c>
      <c r="M8" s="234">
        <f>4.55*200/1000</f>
        <v>0.91</v>
      </c>
      <c r="N8" s="234">
        <f>4.55*250/1000</f>
        <v>1.1375</v>
      </c>
      <c r="O8" s="235">
        <v>94</v>
      </c>
      <c r="P8" s="88"/>
      <c r="Q8" s="418">
        <v>1</v>
      </c>
      <c r="R8" s="419" t="s">
        <v>283</v>
      </c>
      <c r="S8" s="420">
        <v>24</v>
      </c>
      <c r="T8" s="421">
        <v>30</v>
      </c>
    </row>
    <row r="9" spans="1:21" s="89" customFormat="1" ht="12" customHeight="1" x14ac:dyDescent="0.3">
      <c r="A9" s="768"/>
      <c r="B9" s="92" t="s">
        <v>28</v>
      </c>
      <c r="C9" s="127" t="s">
        <v>346</v>
      </c>
      <c r="D9" s="127" t="s">
        <v>346</v>
      </c>
      <c r="E9" s="122">
        <f>0.08/2</f>
        <v>0.04</v>
      </c>
      <c r="F9" s="122">
        <f>0.08/2</f>
        <v>0.04</v>
      </c>
      <c r="G9" s="122">
        <f>7.25/2</f>
        <v>3.625</v>
      </c>
      <c r="H9" s="122">
        <f>7.25/2</f>
        <v>3.625</v>
      </c>
      <c r="I9" s="122">
        <f>0.13/2</f>
        <v>6.5000000000000002E-2</v>
      </c>
      <c r="J9" s="122">
        <f>0.13/2</f>
        <v>6.5000000000000002E-2</v>
      </c>
      <c r="K9" s="122">
        <v>33</v>
      </c>
      <c r="L9" s="122">
        <v>33</v>
      </c>
      <c r="M9" s="122">
        <f>0</f>
        <v>0</v>
      </c>
      <c r="N9" s="122">
        <v>0</v>
      </c>
      <c r="O9" s="236">
        <v>6</v>
      </c>
      <c r="P9" s="88"/>
      <c r="Q9" s="418">
        <v>6</v>
      </c>
      <c r="R9" s="419" t="s">
        <v>28</v>
      </c>
      <c r="S9" s="423">
        <v>5</v>
      </c>
      <c r="T9" s="425">
        <v>5</v>
      </c>
    </row>
    <row r="10" spans="1:21" s="89" customFormat="1" ht="12" customHeight="1" thickBot="1" x14ac:dyDescent="0.35">
      <c r="A10" s="764"/>
      <c r="B10" s="92" t="s">
        <v>82</v>
      </c>
      <c r="C10" s="127" t="s">
        <v>347</v>
      </c>
      <c r="D10" s="127" t="s">
        <v>347</v>
      </c>
      <c r="E10" s="122">
        <v>2.3199999999999998</v>
      </c>
      <c r="F10" s="122">
        <v>2.3199999999999998</v>
      </c>
      <c r="G10" s="122">
        <v>2.95</v>
      </c>
      <c r="H10" s="122">
        <v>2.95</v>
      </c>
      <c r="I10" s="122">
        <v>0</v>
      </c>
      <c r="J10" s="122">
        <v>0</v>
      </c>
      <c r="K10" s="122">
        <v>36</v>
      </c>
      <c r="L10" s="122">
        <v>36</v>
      </c>
      <c r="M10" s="122">
        <v>7.0000000000000007E-2</v>
      </c>
      <c r="N10" s="122">
        <v>7.0000000000000007E-2</v>
      </c>
      <c r="O10" s="236">
        <v>7</v>
      </c>
      <c r="P10" s="88"/>
      <c r="Q10" s="426">
        <v>395</v>
      </c>
      <c r="R10" s="427" t="s">
        <v>71</v>
      </c>
      <c r="S10" s="428">
        <v>150</v>
      </c>
      <c r="T10" s="429">
        <v>180</v>
      </c>
    </row>
    <row r="11" spans="1:21" s="89" customFormat="1" ht="12" customHeight="1" thickBot="1" x14ac:dyDescent="0.35">
      <c r="A11" s="764"/>
      <c r="B11" s="92" t="s">
        <v>71</v>
      </c>
      <c r="C11" s="18">
        <v>150</v>
      </c>
      <c r="D11" s="18">
        <v>180</v>
      </c>
      <c r="E11" s="122">
        <v>2.34</v>
      </c>
      <c r="F11" s="122">
        <v>2.85</v>
      </c>
      <c r="G11" s="122">
        <v>2</v>
      </c>
      <c r="H11" s="122">
        <v>2.41</v>
      </c>
      <c r="I11" s="122">
        <v>10.63</v>
      </c>
      <c r="J11" s="122">
        <v>14.36</v>
      </c>
      <c r="K11" s="122">
        <v>70</v>
      </c>
      <c r="L11" s="122">
        <v>91</v>
      </c>
      <c r="M11" s="122">
        <v>0.98</v>
      </c>
      <c r="N11" s="122">
        <v>1.17</v>
      </c>
      <c r="O11" s="236">
        <v>395</v>
      </c>
      <c r="P11" s="88"/>
      <c r="Q11" s="433">
        <v>399</v>
      </c>
      <c r="R11" s="434" t="s">
        <v>84</v>
      </c>
      <c r="S11" s="435">
        <v>200</v>
      </c>
      <c r="T11" s="435">
        <v>200</v>
      </c>
    </row>
    <row r="12" spans="1:21" s="89" customFormat="1" ht="12" customHeight="1" thickBot="1" x14ac:dyDescent="0.35">
      <c r="A12" s="764"/>
      <c r="B12" s="95" t="s">
        <v>283</v>
      </c>
      <c r="C12" s="238">
        <v>24</v>
      </c>
      <c r="D12" s="238">
        <v>30</v>
      </c>
      <c r="E12" s="239">
        <f>7.5*24/100</f>
        <v>1.8</v>
      </c>
      <c r="F12" s="239">
        <f>7.5*30/100</f>
        <v>2.25</v>
      </c>
      <c r="G12" s="239">
        <f>2.9*24/1000</f>
        <v>6.9599999999999995E-2</v>
      </c>
      <c r="H12" s="239">
        <f>2.9*30/1000</f>
        <v>8.6999999999999994E-2</v>
      </c>
      <c r="I12" s="239">
        <f>51.4*24/100</f>
        <v>12.335999999999999</v>
      </c>
      <c r="J12" s="239">
        <f>51.4*30/100</f>
        <v>15.42</v>
      </c>
      <c r="K12" s="239">
        <f>262*24/100</f>
        <v>62.88</v>
      </c>
      <c r="L12" s="239">
        <f>262*30/100</f>
        <v>78.599999999999994</v>
      </c>
      <c r="M12" s="239">
        <f>0</f>
        <v>0</v>
      </c>
      <c r="N12" s="239">
        <v>0</v>
      </c>
      <c r="O12" s="240" t="s">
        <v>287</v>
      </c>
      <c r="P12" s="88"/>
      <c r="Q12" s="437">
        <v>53</v>
      </c>
      <c r="R12" s="438" t="s">
        <v>257</v>
      </c>
      <c r="S12" s="439">
        <v>45</v>
      </c>
      <c r="T12" s="440">
        <v>60</v>
      </c>
    </row>
    <row r="13" spans="1:21" s="89" customFormat="1" ht="12" customHeight="1" thickBot="1" x14ac:dyDescent="0.35">
      <c r="A13" s="237" t="s">
        <v>83</v>
      </c>
      <c r="B13" s="243" t="s">
        <v>148</v>
      </c>
      <c r="C13" s="244">
        <v>100</v>
      </c>
      <c r="D13" s="244">
        <v>100</v>
      </c>
      <c r="E13" s="245">
        <v>0.4</v>
      </c>
      <c r="F13" s="245">
        <v>0.4</v>
      </c>
      <c r="G13" s="245">
        <v>0.4</v>
      </c>
      <c r="H13" s="245">
        <v>0.4</v>
      </c>
      <c r="I13" s="245">
        <v>9.8000000000000007</v>
      </c>
      <c r="J13" s="245">
        <v>9.8000000000000007</v>
      </c>
      <c r="K13" s="245">
        <v>44</v>
      </c>
      <c r="L13" s="245">
        <v>44</v>
      </c>
      <c r="M13" s="245">
        <v>10</v>
      </c>
      <c r="N13" s="245">
        <v>10</v>
      </c>
      <c r="O13" s="246">
        <v>368</v>
      </c>
      <c r="P13" s="88"/>
      <c r="Q13" s="418">
        <v>85</v>
      </c>
      <c r="R13" s="419" t="s">
        <v>376</v>
      </c>
      <c r="S13" s="323">
        <v>210</v>
      </c>
      <c r="T13" s="326">
        <v>230</v>
      </c>
    </row>
    <row r="14" spans="1:21" s="89" customFormat="1" ht="12" customHeight="1" x14ac:dyDescent="0.3">
      <c r="A14" s="786" t="s">
        <v>85</v>
      </c>
      <c r="B14" s="27" t="s">
        <v>307</v>
      </c>
      <c r="C14" s="20">
        <v>45</v>
      </c>
      <c r="D14" s="20">
        <v>60</v>
      </c>
      <c r="E14" s="234">
        <f>15.02*45/1000</f>
        <v>0.67589999999999995</v>
      </c>
      <c r="F14" s="234">
        <f>15.02*60/1000</f>
        <v>0.90119999999999989</v>
      </c>
      <c r="G14" s="234">
        <f>45.59*45/1000</f>
        <v>2.0515500000000002</v>
      </c>
      <c r="H14" s="234">
        <f>45.59*60/1000</f>
        <v>2.7354000000000003</v>
      </c>
      <c r="I14" s="234">
        <f>61.62*45/1000</f>
        <v>2.7728999999999999</v>
      </c>
      <c r="J14" s="234">
        <f>61.62*60/1000</f>
        <v>3.6971999999999996</v>
      </c>
      <c r="K14" s="234">
        <f>717*45/1000</f>
        <v>32.265000000000001</v>
      </c>
      <c r="L14" s="234">
        <f>717*60/1000</f>
        <v>43.02</v>
      </c>
      <c r="M14" s="234">
        <f>29.47*45/1000</f>
        <v>1.3261499999999999</v>
      </c>
      <c r="N14" s="234">
        <f>29.47*60/1000</f>
        <v>1.7681999999999998</v>
      </c>
      <c r="O14" s="235">
        <v>52</v>
      </c>
      <c r="P14" s="88"/>
      <c r="Q14" s="444" t="s">
        <v>350</v>
      </c>
      <c r="R14" s="419" t="s">
        <v>322</v>
      </c>
      <c r="S14" s="423">
        <v>200</v>
      </c>
      <c r="T14" s="425">
        <v>200</v>
      </c>
    </row>
    <row r="15" spans="1:21" s="89" customFormat="1" ht="12" customHeight="1" x14ac:dyDescent="0.3">
      <c r="A15" s="786"/>
      <c r="B15" s="92" t="s">
        <v>308</v>
      </c>
      <c r="C15" s="18">
        <v>220</v>
      </c>
      <c r="D15" s="18">
        <v>225</v>
      </c>
      <c r="E15" s="122">
        <f>22.43*200/1000</f>
        <v>4.4859999999999998</v>
      </c>
      <c r="F15" s="122">
        <f>22.43*250/1000</f>
        <v>5.6074999999999999</v>
      </c>
      <c r="G15" s="122">
        <f>12.11*200/1000</f>
        <v>2.4220000000000002</v>
      </c>
      <c r="H15" s="122">
        <f>12.11*250/1000</f>
        <v>3.0274999999999999</v>
      </c>
      <c r="I15" s="122">
        <f>62.67*200/1000</f>
        <v>12.534000000000001</v>
      </c>
      <c r="J15" s="122">
        <f>62.67*250/1000</f>
        <v>15.6675</v>
      </c>
      <c r="K15" s="122">
        <f>449*200/1000</f>
        <v>89.8</v>
      </c>
      <c r="L15" s="122">
        <f>449*250/1000</f>
        <v>112.25</v>
      </c>
      <c r="M15" s="122">
        <f>44.74*200/1000</f>
        <v>8.9480000000000004</v>
      </c>
      <c r="N15" s="122">
        <f>44.74*250/1000</f>
        <v>11.185</v>
      </c>
      <c r="O15" s="236">
        <v>84</v>
      </c>
      <c r="P15" s="88"/>
      <c r="Q15" s="418">
        <v>376</v>
      </c>
      <c r="R15" s="419" t="s">
        <v>269</v>
      </c>
      <c r="S15" s="420">
        <v>150</v>
      </c>
      <c r="T15" s="421">
        <v>180</v>
      </c>
    </row>
    <row r="16" spans="1:21" s="89" customFormat="1" ht="12" customHeight="1" x14ac:dyDescent="0.3">
      <c r="A16" s="786"/>
      <c r="B16" s="92" t="s">
        <v>193</v>
      </c>
      <c r="C16" s="18">
        <v>100</v>
      </c>
      <c r="D16" s="18">
        <v>100</v>
      </c>
      <c r="E16" s="122">
        <f>15.42*50/60</f>
        <v>12.85</v>
      </c>
      <c r="F16" s="122">
        <f>15.42*50/60</f>
        <v>12.85</v>
      </c>
      <c r="G16" s="122">
        <f>12.41*50/60</f>
        <v>10.341666666666667</v>
      </c>
      <c r="H16" s="122">
        <f>12.41*50/60</f>
        <v>10.341666666666667</v>
      </c>
      <c r="I16" s="122">
        <f>3.96*50/60</f>
        <v>3.3</v>
      </c>
      <c r="J16" s="122">
        <f>3.96*50/60</f>
        <v>3.3</v>
      </c>
      <c r="K16" s="122">
        <f>189*50/60</f>
        <v>157.5</v>
      </c>
      <c r="L16" s="122">
        <f>189*50/60</f>
        <v>157.5</v>
      </c>
      <c r="M16" s="122">
        <f>0.6*50/60</f>
        <v>0.5</v>
      </c>
      <c r="N16" s="122">
        <f>0.6*50/60</f>
        <v>0.5</v>
      </c>
      <c r="O16" s="236">
        <v>277</v>
      </c>
      <c r="P16" s="88"/>
      <c r="Q16" s="418">
        <v>1</v>
      </c>
      <c r="R16" s="419" t="s">
        <v>155</v>
      </c>
      <c r="S16" s="447">
        <v>20</v>
      </c>
      <c r="T16" s="448">
        <v>25</v>
      </c>
    </row>
    <row r="17" spans="1:20" s="89" customFormat="1" ht="12" customHeight="1" x14ac:dyDescent="0.3">
      <c r="A17" s="786"/>
      <c r="B17" s="92" t="s">
        <v>260</v>
      </c>
      <c r="C17" s="18">
        <v>100</v>
      </c>
      <c r="D17" s="18">
        <v>150</v>
      </c>
      <c r="E17" s="122">
        <f>36.78*100/1000</f>
        <v>3.6779999999999999</v>
      </c>
      <c r="F17" s="122">
        <f>36.78*150/1000</f>
        <v>5.5170000000000003</v>
      </c>
      <c r="G17" s="122">
        <f>30.1*100/1000</f>
        <v>3.01</v>
      </c>
      <c r="H17" s="122">
        <f>30.1*150/1000</f>
        <v>4.5149999999999997</v>
      </c>
      <c r="I17" s="122">
        <f>176.3*100/1000</f>
        <v>17.63</v>
      </c>
      <c r="J17" s="122">
        <f>176.3*150/1000</f>
        <v>26.445</v>
      </c>
      <c r="K17" s="122">
        <f>1123*100/1000</f>
        <v>112.3</v>
      </c>
      <c r="L17" s="122">
        <f>1123*150/1000</f>
        <v>168.45</v>
      </c>
      <c r="M17" s="122">
        <v>0</v>
      </c>
      <c r="N17" s="122">
        <v>0</v>
      </c>
      <c r="O17" s="236">
        <v>205</v>
      </c>
      <c r="P17" s="88"/>
      <c r="Q17" s="418">
        <v>1</v>
      </c>
      <c r="R17" s="419" t="s">
        <v>162</v>
      </c>
      <c r="S17" s="442">
        <v>17</v>
      </c>
      <c r="T17" s="443">
        <v>21</v>
      </c>
    </row>
    <row r="18" spans="1:20" s="89" customFormat="1" ht="12" customHeight="1" x14ac:dyDescent="0.3">
      <c r="A18" s="786"/>
      <c r="B18" s="92" t="s">
        <v>253</v>
      </c>
      <c r="C18" s="21">
        <v>150</v>
      </c>
      <c r="D18" s="21">
        <v>180</v>
      </c>
      <c r="E18" s="122">
        <f>2.2*150/1000</f>
        <v>0.33</v>
      </c>
      <c r="F18" s="122">
        <f>2.2*180/1000</f>
        <v>0.39600000000000007</v>
      </c>
      <c r="G18" s="122">
        <f>0.1*150/1000</f>
        <v>1.4999999999999999E-2</v>
      </c>
      <c r="H18" s="122">
        <f>0.1*180/1000</f>
        <v>1.7999999999999999E-2</v>
      </c>
      <c r="I18" s="122">
        <f>138.84*150/1000</f>
        <v>20.826000000000001</v>
      </c>
      <c r="J18" s="122">
        <f>138.84*180/1000</f>
        <v>24.991199999999999</v>
      </c>
      <c r="K18" s="122">
        <f>565*150/1000</f>
        <v>84.75</v>
      </c>
      <c r="L18" s="122">
        <f>565*180/1000</f>
        <v>101.7</v>
      </c>
      <c r="M18" s="122">
        <f>2*150/1000</f>
        <v>0.3</v>
      </c>
      <c r="N18" s="122">
        <f>2*200/1000</f>
        <v>0.4</v>
      </c>
      <c r="O18" s="236">
        <v>376</v>
      </c>
      <c r="P18" s="88"/>
      <c r="Q18" s="418"/>
      <c r="R18" s="419"/>
      <c r="S18" s="442"/>
      <c r="T18" s="443"/>
    </row>
    <row r="19" spans="1:20" s="89" customFormat="1" ht="12" customHeight="1" thickBot="1" x14ac:dyDescent="0.35">
      <c r="A19" s="786"/>
      <c r="B19" s="92" t="s">
        <v>155</v>
      </c>
      <c r="C19" s="114">
        <v>20</v>
      </c>
      <c r="D19" s="114">
        <v>25</v>
      </c>
      <c r="E19" s="122">
        <f>7.6*20/100</f>
        <v>1.52</v>
      </c>
      <c r="F19" s="122">
        <f>7.6*25/100</f>
        <v>1.9</v>
      </c>
      <c r="G19" s="122">
        <f>0.8*20/1000</f>
        <v>1.6E-2</v>
      </c>
      <c r="H19" s="122">
        <f>0.8*25/1000</f>
        <v>0.02</v>
      </c>
      <c r="I19" s="122">
        <f>49.2*20/100</f>
        <v>9.84</v>
      </c>
      <c r="J19" s="122">
        <f>49.2*25/100</f>
        <v>12.3</v>
      </c>
      <c r="K19" s="122">
        <f>235*20/100</f>
        <v>47</v>
      </c>
      <c r="L19" s="122">
        <f>235*25/100</f>
        <v>58.75</v>
      </c>
      <c r="M19" s="122">
        <v>0</v>
      </c>
      <c r="N19" s="122">
        <v>0</v>
      </c>
      <c r="O19" s="236" t="s">
        <v>277</v>
      </c>
      <c r="P19" s="88"/>
      <c r="Q19" s="426"/>
      <c r="R19" s="427"/>
      <c r="S19" s="428"/>
      <c r="T19" s="429"/>
    </row>
    <row r="20" spans="1:20" s="89" customFormat="1" ht="12" customHeight="1" thickBot="1" x14ac:dyDescent="0.35">
      <c r="A20" s="786"/>
      <c r="B20" s="95" t="s">
        <v>162</v>
      </c>
      <c r="C20" s="133">
        <v>17</v>
      </c>
      <c r="D20" s="133">
        <v>21</v>
      </c>
      <c r="E20" s="239">
        <f>5.6*17/100</f>
        <v>0.95199999999999985</v>
      </c>
      <c r="F20" s="239">
        <f>5.6*21/100</f>
        <v>1.1759999999999999</v>
      </c>
      <c r="G20" s="239">
        <f>1.1*17/100</f>
        <v>0.18700000000000003</v>
      </c>
      <c r="H20" s="239">
        <f>1.1*21/100</f>
        <v>0.23100000000000001</v>
      </c>
      <c r="I20" s="239">
        <f>49.4*17/100</f>
        <v>8.3979999999999997</v>
      </c>
      <c r="J20" s="239">
        <f>49.4*17/100</f>
        <v>8.3979999999999997</v>
      </c>
      <c r="K20" s="239">
        <f>232*17/100</f>
        <v>39.44</v>
      </c>
      <c r="L20" s="239">
        <f>232*21/100</f>
        <v>48.72</v>
      </c>
      <c r="M20" s="239">
        <v>0</v>
      </c>
      <c r="N20" s="239">
        <v>0</v>
      </c>
      <c r="O20" s="240" t="s">
        <v>277</v>
      </c>
      <c r="P20" s="88"/>
      <c r="Q20" s="437">
        <v>218</v>
      </c>
      <c r="R20" s="438" t="s">
        <v>473</v>
      </c>
      <c r="S20" s="451">
        <v>65</v>
      </c>
      <c r="T20" s="452">
        <v>85</v>
      </c>
    </row>
    <row r="21" spans="1:20" s="89" customFormat="1" ht="12" customHeight="1" x14ac:dyDescent="0.3">
      <c r="A21" s="757" t="s">
        <v>86</v>
      </c>
      <c r="B21" s="27" t="s">
        <v>222</v>
      </c>
      <c r="C21" s="17">
        <v>90</v>
      </c>
      <c r="D21" s="17">
        <v>115</v>
      </c>
      <c r="E21" s="234">
        <v>9.3699999999999992</v>
      </c>
      <c r="F21" s="234">
        <v>12.32</v>
      </c>
      <c r="G21" s="234">
        <v>2.2799999999999998</v>
      </c>
      <c r="H21" s="234">
        <v>3.02</v>
      </c>
      <c r="I21" s="234">
        <v>16.489999999999998</v>
      </c>
      <c r="J21" s="234">
        <v>20.88</v>
      </c>
      <c r="K21" s="234">
        <v>124</v>
      </c>
      <c r="L21" s="234">
        <v>160</v>
      </c>
      <c r="M21" s="234">
        <v>7.34</v>
      </c>
      <c r="N21" s="234">
        <v>9.24</v>
      </c>
      <c r="O21" s="235">
        <v>302</v>
      </c>
      <c r="P21" s="88"/>
      <c r="Q21" s="418">
        <v>1</v>
      </c>
      <c r="R21" s="419" t="s">
        <v>162</v>
      </c>
      <c r="S21" s="442">
        <v>17</v>
      </c>
      <c r="T21" s="454">
        <v>21</v>
      </c>
    </row>
    <row r="22" spans="1:20" s="89" customFormat="1" ht="12" customHeight="1" x14ac:dyDescent="0.3">
      <c r="A22" s="759"/>
      <c r="B22" s="92" t="s">
        <v>162</v>
      </c>
      <c r="C22" s="18">
        <v>17</v>
      </c>
      <c r="D22" s="18">
        <v>21</v>
      </c>
      <c r="E22" s="122">
        <f>5.6*17/100</f>
        <v>0.95199999999999985</v>
      </c>
      <c r="F22" s="122">
        <f>5.6*21/100</f>
        <v>1.1759999999999999</v>
      </c>
      <c r="G22" s="122">
        <f>1.1*17/100</f>
        <v>0.18700000000000003</v>
      </c>
      <c r="H22" s="122">
        <f>1.1*21/100</f>
        <v>0.23100000000000001</v>
      </c>
      <c r="I22" s="122">
        <f>49.4*17/100</f>
        <v>8.3979999999999997</v>
      </c>
      <c r="J22" s="122">
        <f>49.4*17/100</f>
        <v>8.3979999999999997</v>
      </c>
      <c r="K22" s="122">
        <f>232*17/100</f>
        <v>39.44</v>
      </c>
      <c r="L22" s="122">
        <f>232*21/100</f>
        <v>48.72</v>
      </c>
      <c r="M22" s="122">
        <v>0</v>
      </c>
      <c r="N22" s="122">
        <v>0</v>
      </c>
      <c r="O22" s="236" t="s">
        <v>277</v>
      </c>
      <c r="P22" s="88"/>
      <c r="Q22" s="418">
        <v>393</v>
      </c>
      <c r="R22" s="419" t="s">
        <v>564</v>
      </c>
      <c r="S22" s="456">
        <v>150</v>
      </c>
      <c r="T22" s="457">
        <v>180</v>
      </c>
    </row>
    <row r="23" spans="1:20" s="89" customFormat="1" ht="12" customHeight="1" x14ac:dyDescent="0.3">
      <c r="A23" s="759"/>
      <c r="B23" s="92" t="s">
        <v>272</v>
      </c>
      <c r="C23" s="18">
        <v>150</v>
      </c>
      <c r="D23" s="18">
        <v>180</v>
      </c>
      <c r="E23" s="122">
        <v>4.58</v>
      </c>
      <c r="F23" s="122">
        <v>5.48</v>
      </c>
      <c r="G23" s="122">
        <v>4.08</v>
      </c>
      <c r="H23" s="122">
        <v>4.88</v>
      </c>
      <c r="I23" s="122">
        <v>7.58</v>
      </c>
      <c r="J23" s="122">
        <v>9.07</v>
      </c>
      <c r="K23" s="122">
        <v>85</v>
      </c>
      <c r="L23" s="122">
        <v>102</v>
      </c>
      <c r="M23" s="122">
        <v>2.0499999999999998</v>
      </c>
      <c r="N23" s="122">
        <v>2.46</v>
      </c>
      <c r="O23" s="236">
        <v>400</v>
      </c>
      <c r="P23" s="88"/>
      <c r="Q23" s="418"/>
      <c r="R23" s="455" t="s">
        <v>381</v>
      </c>
      <c r="S23" s="419">
        <v>50</v>
      </c>
      <c r="T23" s="442">
        <v>50</v>
      </c>
    </row>
    <row r="24" spans="1:20" s="89" customFormat="1" ht="12" customHeight="1" thickBot="1" x14ac:dyDescent="0.35">
      <c r="A24" s="760"/>
      <c r="B24" s="95" t="s">
        <v>309</v>
      </c>
      <c r="C24" s="133">
        <v>50</v>
      </c>
      <c r="D24" s="133">
        <v>50</v>
      </c>
      <c r="E24" s="239">
        <f>2.23*50/35</f>
        <v>3.1857142857142855</v>
      </c>
      <c r="F24" s="239">
        <f>2.23*50/35</f>
        <v>3.1857142857142855</v>
      </c>
      <c r="G24" s="239">
        <f>1.49*50/35</f>
        <v>2.1285714285714286</v>
      </c>
      <c r="H24" s="239">
        <f>1.49*50/35</f>
        <v>2.1285714285714286</v>
      </c>
      <c r="I24" s="239">
        <f>22.06*50/35</f>
        <v>31.514285714285716</v>
      </c>
      <c r="J24" s="239">
        <f>22.06*50/35</f>
        <v>31.514285714285716</v>
      </c>
      <c r="K24" s="239">
        <f>111*50/35</f>
        <v>158.57142857142858</v>
      </c>
      <c r="L24" s="239">
        <f>111*50/35</f>
        <v>158.57142857142858</v>
      </c>
      <c r="M24" s="239">
        <f>0.04*50/35</f>
        <v>5.7142857142857141E-2</v>
      </c>
      <c r="N24" s="239">
        <f>0.04*50/35</f>
        <v>5.7142857142857141E-2</v>
      </c>
      <c r="O24" s="240">
        <v>458</v>
      </c>
      <c r="P24" s="88"/>
      <c r="Q24" s="426"/>
      <c r="R24" s="427"/>
      <c r="S24" s="428"/>
      <c r="T24" s="459"/>
    </row>
    <row r="25" spans="1:20" s="89" customFormat="1" ht="12" customHeight="1" thickBot="1" x14ac:dyDescent="0.35">
      <c r="A25" s="251"/>
      <c r="B25" s="185"/>
      <c r="C25" s="252">
        <f t="shared" ref="C25:N25" si="0">SUM(C8:C24)</f>
        <v>1433</v>
      </c>
      <c r="D25" s="252">
        <f t="shared" si="0"/>
        <v>1687</v>
      </c>
      <c r="E25" s="253">
        <f>SUM(E8:E24)</f>
        <v>55.277614285714272</v>
      </c>
      <c r="F25" s="253">
        <f t="shared" si="0"/>
        <v>65.616914285714287</v>
      </c>
      <c r="G25" s="253">
        <f t="shared" si="0"/>
        <v>41.241388095238086</v>
      </c>
      <c r="H25" s="253">
        <f t="shared" si="0"/>
        <v>47.467638095238101</v>
      </c>
      <c r="I25" s="253">
        <f t="shared" si="0"/>
        <v>190.68618571428573</v>
      </c>
      <c r="J25" s="253">
        <f t="shared" si="0"/>
        <v>227.52118571428568</v>
      </c>
      <c r="K25" s="253">
        <f t="shared" si="0"/>
        <v>1362.7464285714286</v>
      </c>
      <c r="L25" s="253">
        <f t="shared" si="0"/>
        <v>1625.7814285714287</v>
      </c>
      <c r="M25" s="253">
        <f t="shared" si="0"/>
        <v>32.481292857142854</v>
      </c>
      <c r="N25" s="253">
        <f t="shared" si="0"/>
        <v>37.987842857142859</v>
      </c>
      <c r="O25" s="242"/>
      <c r="P25" s="88"/>
      <c r="Q25" s="88"/>
      <c r="R25" s="88"/>
      <c r="S25" s="88"/>
    </row>
    <row r="26" spans="1:20" s="89" customFormat="1" ht="12" customHeight="1" thickBot="1" x14ac:dyDescent="0.4">
      <c r="A26" s="736" t="s">
        <v>174</v>
      </c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80"/>
      <c r="P26" s="88"/>
      <c r="Q26" s="88"/>
      <c r="R26" s="88"/>
      <c r="S26" s="88"/>
    </row>
    <row r="27" spans="1:20" s="89" customFormat="1" ht="12" customHeight="1" thickBot="1" x14ac:dyDescent="0.35">
      <c r="A27" s="774" t="s">
        <v>161</v>
      </c>
      <c r="B27" s="67" t="s">
        <v>74</v>
      </c>
      <c r="C27" s="766" t="s">
        <v>76</v>
      </c>
      <c r="D27" s="767"/>
      <c r="E27" s="756" t="s">
        <v>101</v>
      </c>
      <c r="F27" s="754"/>
      <c r="G27" s="754"/>
      <c r="H27" s="754"/>
      <c r="I27" s="754"/>
      <c r="J27" s="755"/>
      <c r="K27" s="739" t="s">
        <v>160</v>
      </c>
      <c r="L27" s="740"/>
      <c r="M27" s="739" t="s">
        <v>80</v>
      </c>
      <c r="N27" s="740"/>
      <c r="O27" s="746" t="s">
        <v>209</v>
      </c>
      <c r="P27" s="88"/>
      <c r="Q27" s="88"/>
      <c r="R27" s="88"/>
      <c r="S27" s="88"/>
    </row>
    <row r="28" spans="1:20" s="89" customFormat="1" ht="12" customHeight="1" thickBot="1" x14ac:dyDescent="0.35">
      <c r="A28" s="775"/>
      <c r="B28" s="69" t="s">
        <v>75</v>
      </c>
      <c r="C28" s="753" t="s">
        <v>75</v>
      </c>
      <c r="D28" s="752"/>
      <c r="E28" s="756" t="s">
        <v>77</v>
      </c>
      <c r="F28" s="755"/>
      <c r="G28" s="756" t="s">
        <v>78</v>
      </c>
      <c r="H28" s="755"/>
      <c r="I28" s="756" t="s">
        <v>79</v>
      </c>
      <c r="J28" s="755"/>
      <c r="K28" s="765"/>
      <c r="L28" s="742"/>
      <c r="M28" s="741"/>
      <c r="N28" s="742"/>
      <c r="O28" s="747"/>
      <c r="P28" s="88"/>
      <c r="Q28" s="88"/>
      <c r="R28" s="88"/>
      <c r="S28" s="88"/>
    </row>
    <row r="29" spans="1:20" s="89" customFormat="1" ht="12" customHeight="1" thickBot="1" x14ac:dyDescent="0.35">
      <c r="A29" s="775"/>
      <c r="B29" s="72"/>
      <c r="C29" s="71" t="s">
        <v>158</v>
      </c>
      <c r="D29" s="98" t="s">
        <v>159</v>
      </c>
      <c r="E29" s="74" t="s">
        <v>158</v>
      </c>
      <c r="F29" s="75" t="s">
        <v>159</v>
      </c>
      <c r="G29" s="74" t="s">
        <v>158</v>
      </c>
      <c r="H29" s="75" t="s">
        <v>159</v>
      </c>
      <c r="I29" s="74" t="s">
        <v>158</v>
      </c>
      <c r="J29" s="74" t="s">
        <v>159</v>
      </c>
      <c r="K29" s="74" t="s">
        <v>158</v>
      </c>
      <c r="L29" s="91" t="s">
        <v>159</v>
      </c>
      <c r="M29" s="74" t="s">
        <v>158</v>
      </c>
      <c r="N29" s="74" t="s">
        <v>159</v>
      </c>
      <c r="O29" s="748"/>
      <c r="P29" s="88"/>
      <c r="Q29" s="88"/>
      <c r="R29" s="88"/>
      <c r="S29" s="88"/>
    </row>
    <row r="30" spans="1:20" s="89" customFormat="1" ht="12" customHeight="1" x14ac:dyDescent="0.3">
      <c r="A30" s="757" t="s">
        <v>81</v>
      </c>
      <c r="B30" s="27" t="s">
        <v>255</v>
      </c>
      <c r="C30" s="230">
        <v>100</v>
      </c>
      <c r="D30" s="230">
        <v>100</v>
      </c>
      <c r="E30" s="234">
        <v>17.54</v>
      </c>
      <c r="F30" s="234">
        <v>17.54</v>
      </c>
      <c r="G30" s="234">
        <v>12.05</v>
      </c>
      <c r="H30" s="234">
        <v>12.05</v>
      </c>
      <c r="I30" s="234">
        <v>17.149999999999999</v>
      </c>
      <c r="J30" s="234">
        <v>17.149999999999999</v>
      </c>
      <c r="K30" s="234">
        <v>247</v>
      </c>
      <c r="L30" s="234">
        <v>247</v>
      </c>
      <c r="M30" s="234">
        <v>0.24</v>
      </c>
      <c r="N30" s="234">
        <v>0.24</v>
      </c>
      <c r="O30" s="235">
        <v>237</v>
      </c>
      <c r="P30" s="88"/>
      <c r="Q30" s="414">
        <v>235</v>
      </c>
      <c r="R30" s="415" t="s">
        <v>219</v>
      </c>
      <c r="S30" s="416">
        <v>90</v>
      </c>
      <c r="T30" s="417">
        <v>100</v>
      </c>
    </row>
    <row r="31" spans="1:20" s="89" customFormat="1" ht="12" customHeight="1" x14ac:dyDescent="0.3">
      <c r="A31" s="759"/>
      <c r="B31" s="92" t="s">
        <v>213</v>
      </c>
      <c r="C31" s="21">
        <v>30</v>
      </c>
      <c r="D31" s="21">
        <v>30</v>
      </c>
      <c r="E31" s="122">
        <f>19.43*30/1000</f>
        <v>0.58289999999999997</v>
      </c>
      <c r="F31" s="122">
        <f>19.43*30/1000</f>
        <v>0.58289999999999997</v>
      </c>
      <c r="G31" s="122">
        <f>45.19*30/1000</f>
        <v>1.3556999999999999</v>
      </c>
      <c r="H31" s="122">
        <f>45.19*30/1000</f>
        <v>1.3556999999999999</v>
      </c>
      <c r="I31" s="122">
        <f>132.55*30/1000</f>
        <v>3.9765000000000006</v>
      </c>
      <c r="J31" s="122">
        <f>132.55*30/1000</f>
        <v>3.9765000000000006</v>
      </c>
      <c r="K31" s="122">
        <f>1015*30/1000</f>
        <v>30.45</v>
      </c>
      <c r="L31" s="122">
        <f>1015*30/1000</f>
        <v>30.45</v>
      </c>
      <c r="M31" s="122">
        <f>3.25*15/1000</f>
        <v>4.8750000000000002E-2</v>
      </c>
      <c r="N31" s="122">
        <f>3.25*15/1000</f>
        <v>4.8750000000000002E-2</v>
      </c>
      <c r="O31" s="236">
        <v>351</v>
      </c>
      <c r="P31" s="88"/>
      <c r="Q31" s="422">
        <v>351</v>
      </c>
      <c r="R31" s="419" t="s">
        <v>380</v>
      </c>
      <c r="S31" s="423">
        <v>30</v>
      </c>
      <c r="T31" s="424">
        <v>30</v>
      </c>
    </row>
    <row r="32" spans="1:20" s="89" customFormat="1" ht="12" customHeight="1" x14ac:dyDescent="0.3">
      <c r="A32" s="759"/>
      <c r="B32" s="152" t="s">
        <v>50</v>
      </c>
      <c r="C32" s="148">
        <v>150</v>
      </c>
      <c r="D32" s="148">
        <v>180</v>
      </c>
      <c r="E32" s="122">
        <v>2.65</v>
      </c>
      <c r="F32" s="122">
        <v>2.67</v>
      </c>
      <c r="G32" s="122">
        <v>2.33</v>
      </c>
      <c r="H32" s="122">
        <v>2.34</v>
      </c>
      <c r="I32" s="122">
        <v>11.31</v>
      </c>
      <c r="J32" s="122">
        <v>14.31</v>
      </c>
      <c r="K32" s="122">
        <v>77</v>
      </c>
      <c r="L32" s="122">
        <v>89</v>
      </c>
      <c r="M32" s="122">
        <v>1.19</v>
      </c>
      <c r="N32" s="122">
        <v>1.2</v>
      </c>
      <c r="O32" s="236">
        <v>394</v>
      </c>
      <c r="P32" s="88"/>
      <c r="Q32" s="422">
        <v>394</v>
      </c>
      <c r="R32" s="419" t="s">
        <v>50</v>
      </c>
      <c r="S32" s="423">
        <v>150</v>
      </c>
      <c r="T32" s="424">
        <v>180</v>
      </c>
    </row>
    <row r="33" spans="1:20" s="89" customFormat="1" ht="12" customHeight="1" thickBot="1" x14ac:dyDescent="0.35">
      <c r="A33" s="759"/>
      <c r="B33" s="95" t="s">
        <v>283</v>
      </c>
      <c r="C33" s="248">
        <v>24</v>
      </c>
      <c r="D33" s="248">
        <v>30</v>
      </c>
      <c r="E33" s="239">
        <f>7.5*24/100</f>
        <v>1.8</v>
      </c>
      <c r="F33" s="239">
        <f>7.5*30/100</f>
        <v>2.25</v>
      </c>
      <c r="G33" s="239">
        <f>2.9*24/1000</f>
        <v>6.9599999999999995E-2</v>
      </c>
      <c r="H33" s="239">
        <f>2.9*30/1000</f>
        <v>8.6999999999999994E-2</v>
      </c>
      <c r="I33" s="239">
        <f>51.4*24/100</f>
        <v>12.335999999999999</v>
      </c>
      <c r="J33" s="239">
        <f>51.4*30/100</f>
        <v>15.42</v>
      </c>
      <c r="K33" s="239">
        <f>262*24/100</f>
        <v>62.88</v>
      </c>
      <c r="L33" s="239">
        <f>262*30/100</f>
        <v>78.599999999999994</v>
      </c>
      <c r="M33" s="239">
        <f>0</f>
        <v>0</v>
      </c>
      <c r="N33" s="239">
        <v>0</v>
      </c>
      <c r="O33" s="240" t="s">
        <v>287</v>
      </c>
      <c r="P33" s="88"/>
      <c r="Q33" s="430">
        <v>1</v>
      </c>
      <c r="R33" s="427" t="s">
        <v>283</v>
      </c>
      <c r="S33" s="431">
        <v>24</v>
      </c>
      <c r="T33" s="432">
        <v>30</v>
      </c>
    </row>
    <row r="34" spans="1:20" s="89" customFormat="1" ht="12" customHeight="1" thickBot="1" x14ac:dyDescent="0.35">
      <c r="A34" s="99" t="s">
        <v>83</v>
      </c>
      <c r="B34" s="185" t="s">
        <v>84</v>
      </c>
      <c r="C34" s="229">
        <v>200</v>
      </c>
      <c r="D34" s="229">
        <v>200</v>
      </c>
      <c r="E34" s="241">
        <f>0.45*200/150</f>
        <v>0.6</v>
      </c>
      <c r="F34" s="241">
        <f>0.45*200/150</f>
        <v>0.6</v>
      </c>
      <c r="G34" s="241">
        <f>0.15*200/150</f>
        <v>0.2</v>
      </c>
      <c r="H34" s="241">
        <f>0.15*200/150</f>
        <v>0.2</v>
      </c>
      <c r="I34" s="241">
        <f>22.8*200/150</f>
        <v>30.4</v>
      </c>
      <c r="J34" s="241">
        <f>22.8*200/150</f>
        <v>30.4</v>
      </c>
      <c r="K34" s="241">
        <f>94*200/150</f>
        <v>125.33333333333333</v>
      </c>
      <c r="L34" s="241">
        <f>94*200/150</f>
        <v>125.33333333333333</v>
      </c>
      <c r="M34" s="241">
        <f>6*200/150</f>
        <v>8</v>
      </c>
      <c r="N34" s="241">
        <f>6*200/150</f>
        <v>8</v>
      </c>
      <c r="O34" s="242">
        <v>399</v>
      </c>
      <c r="P34" s="88"/>
      <c r="Q34" s="436">
        <v>368</v>
      </c>
      <c r="R34" s="434" t="s">
        <v>115</v>
      </c>
      <c r="S34" s="435">
        <v>100</v>
      </c>
      <c r="T34" s="435">
        <v>100</v>
      </c>
    </row>
    <row r="35" spans="1:20" s="89" customFormat="1" ht="12" customHeight="1" x14ac:dyDescent="0.3">
      <c r="A35" s="757" t="s">
        <v>85</v>
      </c>
      <c r="B35" s="191" t="s">
        <v>129</v>
      </c>
      <c r="C35" s="120">
        <v>45</v>
      </c>
      <c r="D35" s="120">
        <v>60</v>
      </c>
      <c r="E35" s="249">
        <f>7.6*45/1000</f>
        <v>0.34200000000000003</v>
      </c>
      <c r="F35" s="249">
        <f>7.6*60/1000</f>
        <v>0.45600000000000002</v>
      </c>
      <c r="G35" s="249">
        <f>60.89*45/1000</f>
        <v>2.7400500000000001</v>
      </c>
      <c r="H35" s="249">
        <f>60.89*60/1000</f>
        <v>3.6534</v>
      </c>
      <c r="I35" s="249">
        <f>23.75*45/1000</f>
        <v>1.0687500000000001</v>
      </c>
      <c r="J35" s="249">
        <f>23.75*60/1000</f>
        <v>1.425</v>
      </c>
      <c r="K35" s="249">
        <f>673*45/1000</f>
        <v>30.285</v>
      </c>
      <c r="L35" s="249">
        <f>673*60/1000</f>
        <v>40.380000000000003</v>
      </c>
      <c r="M35" s="249">
        <f>10*45/100</f>
        <v>4.5</v>
      </c>
      <c r="N35" s="249">
        <v>0</v>
      </c>
      <c r="O35" s="250">
        <v>13</v>
      </c>
      <c r="P35" s="88"/>
      <c r="Q35" s="441">
        <v>19</v>
      </c>
      <c r="R35" s="438" t="s">
        <v>312</v>
      </c>
      <c r="S35" s="439">
        <v>45</v>
      </c>
      <c r="T35" s="440">
        <v>60</v>
      </c>
    </row>
    <row r="36" spans="1:20" s="89" customFormat="1" ht="12" customHeight="1" x14ac:dyDescent="0.3">
      <c r="A36" s="759"/>
      <c r="B36" s="92" t="s">
        <v>250</v>
      </c>
      <c r="C36" s="21">
        <v>200</v>
      </c>
      <c r="D36" s="21">
        <v>250</v>
      </c>
      <c r="E36" s="122">
        <f>6.44*200/1000</f>
        <v>1.288</v>
      </c>
      <c r="F36" s="122">
        <f>6.44*250/1000</f>
        <v>1.61</v>
      </c>
      <c r="G36" s="122">
        <f>19.37*200/1000</f>
        <v>3.8740000000000001</v>
      </c>
      <c r="H36" s="122">
        <f>19.37*250/1000</f>
        <v>4.8425000000000002</v>
      </c>
      <c r="I36" s="122">
        <f>43.72*200/1000</f>
        <v>8.7439999999999998</v>
      </c>
      <c r="J36" s="122">
        <f>43.72*250/1000</f>
        <v>10.93</v>
      </c>
      <c r="K36" s="122">
        <f>375*200/1000</f>
        <v>75</v>
      </c>
      <c r="L36" s="122">
        <f>375*250/1000</f>
        <v>93.75</v>
      </c>
      <c r="M36" s="122">
        <f>42.15*200/1000</f>
        <v>8.43</v>
      </c>
      <c r="N36" s="122">
        <f>42.15*250/1000</f>
        <v>10.5375</v>
      </c>
      <c r="O36" s="236">
        <v>10</v>
      </c>
      <c r="P36" s="88"/>
      <c r="Q36" s="422">
        <v>56</v>
      </c>
      <c r="R36" s="419" t="s">
        <v>377</v>
      </c>
      <c r="S36" s="319">
        <v>200</v>
      </c>
      <c r="T36" s="320">
        <v>220</v>
      </c>
    </row>
    <row r="37" spans="1:20" s="89" customFormat="1" ht="12" customHeight="1" x14ac:dyDescent="0.3">
      <c r="A37" s="759"/>
      <c r="B37" s="92" t="s">
        <v>199</v>
      </c>
      <c r="C37" s="21">
        <v>75</v>
      </c>
      <c r="D37" s="21">
        <v>110</v>
      </c>
      <c r="E37" s="122">
        <v>7.72</v>
      </c>
      <c r="F37" s="122">
        <v>7.72</v>
      </c>
      <c r="G37" s="122">
        <v>2.95</v>
      </c>
      <c r="H37" s="122">
        <v>2.95</v>
      </c>
      <c r="I37" s="122">
        <v>8.2799999999999994</v>
      </c>
      <c r="J37" s="122">
        <v>8.2799999999999994</v>
      </c>
      <c r="K37" s="122">
        <v>90</v>
      </c>
      <c r="L37" s="122">
        <v>90</v>
      </c>
      <c r="M37" s="122">
        <v>0.19</v>
      </c>
      <c r="N37" s="122">
        <v>0.19</v>
      </c>
      <c r="O37" s="236">
        <v>261</v>
      </c>
      <c r="P37" s="88"/>
      <c r="Q37" s="422">
        <v>261</v>
      </c>
      <c r="R37" s="419" t="s">
        <v>199</v>
      </c>
      <c r="S37" s="445" t="s">
        <v>111</v>
      </c>
      <c r="T37" s="446" t="s">
        <v>113</v>
      </c>
    </row>
    <row r="38" spans="1:20" s="89" customFormat="1" ht="12" customHeight="1" x14ac:dyDescent="0.3">
      <c r="A38" s="759"/>
      <c r="B38" s="92" t="s">
        <v>98</v>
      </c>
      <c r="C38" s="21">
        <v>100</v>
      </c>
      <c r="D38" s="21">
        <v>150</v>
      </c>
      <c r="E38" s="122">
        <v>5.68</v>
      </c>
      <c r="F38" s="122">
        <v>5.68</v>
      </c>
      <c r="G38" s="122">
        <v>4.3600000000000003</v>
      </c>
      <c r="H38" s="122">
        <v>4.3600000000000003</v>
      </c>
      <c r="I38" s="122">
        <v>27.25</v>
      </c>
      <c r="J38" s="122">
        <v>27.25</v>
      </c>
      <c r="K38" s="122">
        <v>171</v>
      </c>
      <c r="L38" s="122">
        <v>171</v>
      </c>
      <c r="M38" s="122">
        <v>0</v>
      </c>
      <c r="N38" s="122">
        <v>0</v>
      </c>
      <c r="O38" s="236">
        <v>205</v>
      </c>
      <c r="P38" s="88"/>
      <c r="Q38" s="422">
        <v>321</v>
      </c>
      <c r="R38" s="419" t="s">
        <v>98</v>
      </c>
      <c r="S38" s="423">
        <v>100</v>
      </c>
      <c r="T38" s="425">
        <v>150</v>
      </c>
    </row>
    <row r="39" spans="1:20" s="89" customFormat="1" ht="12" customHeight="1" x14ac:dyDescent="0.3">
      <c r="A39" s="759"/>
      <c r="B39" s="92" t="s">
        <v>259</v>
      </c>
      <c r="C39" s="148">
        <v>150</v>
      </c>
      <c r="D39" s="148">
        <v>180</v>
      </c>
      <c r="E39" s="122">
        <f>0.8*150/1000</f>
        <v>0.12</v>
      </c>
      <c r="F39" s="122">
        <f>0.8*180/1000</f>
        <v>0.14399999999999999</v>
      </c>
      <c r="G39" s="122">
        <f>0.8*150/1000</f>
        <v>0.12</v>
      </c>
      <c r="H39" s="122">
        <f>0.8*180/1000</f>
        <v>0.14399999999999999</v>
      </c>
      <c r="I39" s="122">
        <f>119.4*150/1000</f>
        <v>17.91</v>
      </c>
      <c r="J39" s="122">
        <f>119.4*180/1000</f>
        <v>21.492000000000001</v>
      </c>
      <c r="K39" s="122">
        <f>488*150/1000</f>
        <v>73.2</v>
      </c>
      <c r="L39" s="122">
        <f>488*180/1000</f>
        <v>87.84</v>
      </c>
      <c r="M39" s="122">
        <f>8.6*150/1000</f>
        <v>1.29</v>
      </c>
      <c r="N39" s="122">
        <f>8.6*180/1000</f>
        <v>1.548</v>
      </c>
      <c r="O39" s="247">
        <v>372</v>
      </c>
      <c r="P39" s="88"/>
      <c r="Q39" s="422">
        <v>372</v>
      </c>
      <c r="R39" s="419" t="s">
        <v>259</v>
      </c>
      <c r="S39" s="423">
        <v>150</v>
      </c>
      <c r="T39" s="425">
        <v>180</v>
      </c>
    </row>
    <row r="40" spans="1:20" s="89" customFormat="1" ht="12" customHeight="1" x14ac:dyDescent="0.3">
      <c r="A40" s="758"/>
      <c r="B40" s="92" t="s">
        <v>155</v>
      </c>
      <c r="C40" s="114">
        <v>20</v>
      </c>
      <c r="D40" s="114">
        <v>25</v>
      </c>
      <c r="E40" s="122">
        <f>7.6*20/100</f>
        <v>1.52</v>
      </c>
      <c r="F40" s="122">
        <f>7.6*25/100</f>
        <v>1.9</v>
      </c>
      <c r="G40" s="122">
        <f>0.8*20/1000</f>
        <v>1.6E-2</v>
      </c>
      <c r="H40" s="122">
        <f>0.8*25/1000</f>
        <v>0.02</v>
      </c>
      <c r="I40" s="122">
        <f>49.2*20/100</f>
        <v>9.84</v>
      </c>
      <c r="J40" s="122">
        <f>49.2*25/100</f>
        <v>12.3</v>
      </c>
      <c r="K40" s="122">
        <f>235*20/100</f>
        <v>47</v>
      </c>
      <c r="L40" s="122">
        <f>235*25/100</f>
        <v>58.75</v>
      </c>
      <c r="M40" s="122">
        <v>0</v>
      </c>
      <c r="N40" s="122">
        <v>0</v>
      </c>
      <c r="O40" s="236" t="s">
        <v>277</v>
      </c>
      <c r="P40" s="88"/>
      <c r="Q40" s="422">
        <v>1</v>
      </c>
      <c r="R40" s="419" t="s">
        <v>155</v>
      </c>
      <c r="S40" s="420">
        <v>20</v>
      </c>
      <c r="T40" s="421">
        <v>25</v>
      </c>
    </row>
    <row r="41" spans="1:20" s="88" customFormat="1" ht="12" customHeight="1" thickBot="1" x14ac:dyDescent="0.35">
      <c r="A41" s="759"/>
      <c r="B41" s="95" t="s">
        <v>162</v>
      </c>
      <c r="C41" s="133">
        <v>17</v>
      </c>
      <c r="D41" s="133">
        <v>21</v>
      </c>
      <c r="E41" s="239">
        <f>5.6*17/100</f>
        <v>0.95199999999999985</v>
      </c>
      <c r="F41" s="239">
        <f>5.6*21/100</f>
        <v>1.1759999999999999</v>
      </c>
      <c r="G41" s="239">
        <f>1.1*17/100</f>
        <v>0.18700000000000003</v>
      </c>
      <c r="H41" s="239">
        <f>1.1*21/100</f>
        <v>0.23100000000000001</v>
      </c>
      <c r="I41" s="239">
        <f>49.4*17/100</f>
        <v>8.3979999999999997</v>
      </c>
      <c r="J41" s="239">
        <f>49.4*17/100</f>
        <v>8.3979999999999997</v>
      </c>
      <c r="K41" s="239">
        <f>232*17/100</f>
        <v>39.44</v>
      </c>
      <c r="L41" s="239">
        <f>232*21/100</f>
        <v>48.72</v>
      </c>
      <c r="M41" s="239">
        <v>0</v>
      </c>
      <c r="N41" s="239">
        <v>0</v>
      </c>
      <c r="O41" s="240" t="s">
        <v>277</v>
      </c>
      <c r="Q41" s="422">
        <v>1</v>
      </c>
      <c r="R41" s="419" t="s">
        <v>162</v>
      </c>
      <c r="S41" s="423">
        <v>17</v>
      </c>
      <c r="T41" s="425">
        <v>21</v>
      </c>
    </row>
    <row r="42" spans="1:20" s="89" customFormat="1" ht="12" customHeight="1" thickBot="1" x14ac:dyDescent="0.35">
      <c r="A42" s="771" t="s">
        <v>86</v>
      </c>
      <c r="B42" s="27" t="s">
        <v>263</v>
      </c>
      <c r="C42" s="17">
        <v>100</v>
      </c>
      <c r="D42" s="17">
        <v>150</v>
      </c>
      <c r="E42" s="234">
        <f>57.32*100/1000</f>
        <v>5.7320000000000002</v>
      </c>
      <c r="F42" s="234">
        <f>57.32*150/1000</f>
        <v>8.5980000000000008</v>
      </c>
      <c r="G42" s="234">
        <f>40.62*100/1000</f>
        <v>4.0619999999999994</v>
      </c>
      <c r="H42" s="234">
        <f>40.62*150/1000</f>
        <v>6.093</v>
      </c>
      <c r="I42" s="234">
        <f>257.61*100/1000</f>
        <v>25.760999999999999</v>
      </c>
      <c r="J42" s="234">
        <f>257.61*150/1000</f>
        <v>38.641500000000001</v>
      </c>
      <c r="K42" s="234">
        <f>1625*100/1000</f>
        <v>162.5</v>
      </c>
      <c r="L42" s="234">
        <f>1625*150/1000</f>
        <v>243.75</v>
      </c>
      <c r="M42" s="234">
        <v>0</v>
      </c>
      <c r="N42" s="234">
        <v>0</v>
      </c>
      <c r="O42" s="235">
        <v>313</v>
      </c>
      <c r="P42" s="88"/>
      <c r="Q42" s="430"/>
      <c r="R42" s="427"/>
      <c r="S42" s="449"/>
      <c r="T42" s="450"/>
    </row>
    <row r="43" spans="1:20" s="89" customFormat="1" ht="12" customHeight="1" x14ac:dyDescent="0.3">
      <c r="A43" s="772"/>
      <c r="B43" s="92" t="s">
        <v>310</v>
      </c>
      <c r="C43" s="21" t="s">
        <v>87</v>
      </c>
      <c r="D43" s="21" t="s">
        <v>87</v>
      </c>
      <c r="E43" s="122">
        <v>15.51</v>
      </c>
      <c r="F43" s="122">
        <v>15.51</v>
      </c>
      <c r="G43" s="122">
        <v>12.43</v>
      </c>
      <c r="H43" s="122">
        <v>12.43</v>
      </c>
      <c r="I43" s="122">
        <v>3.29</v>
      </c>
      <c r="J43" s="122">
        <v>3.29</v>
      </c>
      <c r="K43" s="122">
        <v>187</v>
      </c>
      <c r="L43" s="122">
        <v>187</v>
      </c>
      <c r="M43" s="122">
        <v>0.01</v>
      </c>
      <c r="N43" s="122">
        <v>0.01</v>
      </c>
      <c r="O43" s="236">
        <v>278</v>
      </c>
      <c r="P43" s="88"/>
      <c r="Q43" s="414">
        <v>298</v>
      </c>
      <c r="R43" s="453" t="s">
        <v>112</v>
      </c>
      <c r="S43" s="416">
        <v>120</v>
      </c>
      <c r="T43" s="417">
        <v>160</v>
      </c>
    </row>
    <row r="44" spans="1:20" s="89" customFormat="1" ht="12" customHeight="1" x14ac:dyDescent="0.3">
      <c r="A44" s="772"/>
      <c r="B44" s="92" t="s">
        <v>156</v>
      </c>
      <c r="C44" s="21">
        <v>150</v>
      </c>
      <c r="D44" s="21">
        <v>180</v>
      </c>
      <c r="E44" s="122">
        <v>4.3499999999999996</v>
      </c>
      <c r="F44" s="122">
        <v>5.22</v>
      </c>
      <c r="G44" s="122">
        <v>3.75</v>
      </c>
      <c r="H44" s="122">
        <v>4.5</v>
      </c>
      <c r="I44" s="122">
        <v>6.3</v>
      </c>
      <c r="J44" s="122">
        <v>7.56</v>
      </c>
      <c r="K44" s="122">
        <v>76</v>
      </c>
      <c r="L44" s="122">
        <v>92</v>
      </c>
      <c r="M44" s="122">
        <v>0.45</v>
      </c>
      <c r="N44" s="122">
        <v>0.24</v>
      </c>
      <c r="O44" s="236">
        <v>401</v>
      </c>
      <c r="P44" s="88"/>
      <c r="Q44" s="418">
        <v>1</v>
      </c>
      <c r="R44" s="455" t="s">
        <v>162</v>
      </c>
      <c r="S44" s="423">
        <v>17</v>
      </c>
      <c r="T44" s="425">
        <v>21</v>
      </c>
    </row>
    <row r="45" spans="1:20" s="89" customFormat="1" ht="12" customHeight="1" x14ac:dyDescent="0.3">
      <c r="A45" s="772"/>
      <c r="B45" s="92" t="s">
        <v>162</v>
      </c>
      <c r="C45" s="21">
        <v>17</v>
      </c>
      <c r="D45" s="21">
        <v>21</v>
      </c>
      <c r="E45" s="122">
        <f>5.6*17/100</f>
        <v>0.95199999999999985</v>
      </c>
      <c r="F45" s="122">
        <f>5.6*21/100</f>
        <v>1.1759999999999999</v>
      </c>
      <c r="G45" s="122">
        <f>1.1*17/100</f>
        <v>0.18700000000000003</v>
      </c>
      <c r="H45" s="122">
        <f>1.1*21/100</f>
        <v>0.23100000000000001</v>
      </c>
      <c r="I45" s="122">
        <f>49.4*17/100</f>
        <v>8.3979999999999997</v>
      </c>
      <c r="J45" s="122">
        <f>49.4*17/100</f>
        <v>8.3979999999999997</v>
      </c>
      <c r="K45" s="122">
        <f>232*17/100</f>
        <v>39.44</v>
      </c>
      <c r="L45" s="122">
        <f>232*21/100</f>
        <v>48.72</v>
      </c>
      <c r="M45" s="122">
        <v>0</v>
      </c>
      <c r="N45" s="122">
        <v>0</v>
      </c>
      <c r="O45" s="236" t="s">
        <v>277</v>
      </c>
      <c r="P45" s="88"/>
      <c r="Q45" s="458">
        <v>400</v>
      </c>
      <c r="R45" s="455" t="s">
        <v>390</v>
      </c>
      <c r="S45" s="423">
        <v>150</v>
      </c>
      <c r="T45" s="425">
        <v>180</v>
      </c>
    </row>
    <row r="46" spans="1:20" s="89" customFormat="1" ht="12" customHeight="1" thickBot="1" x14ac:dyDescent="0.35">
      <c r="A46" s="773"/>
      <c r="B46" s="95" t="s">
        <v>300</v>
      </c>
      <c r="C46" s="133">
        <v>25</v>
      </c>
      <c r="D46" s="133">
        <v>25</v>
      </c>
      <c r="E46" s="239">
        <f>7.5*25/100</f>
        <v>1.875</v>
      </c>
      <c r="F46" s="239">
        <v>1.88</v>
      </c>
      <c r="G46" s="239">
        <f>9.8*25/100</f>
        <v>2.4500000000000002</v>
      </c>
      <c r="H46" s="239">
        <v>2.4500000000000002</v>
      </c>
      <c r="I46" s="239">
        <f>74.4*25/100</f>
        <v>18.600000000000001</v>
      </c>
      <c r="J46" s="239">
        <v>18.600000000000001</v>
      </c>
      <c r="K46" s="239">
        <f>417*25/100</f>
        <v>104.25</v>
      </c>
      <c r="L46" s="239">
        <v>104.25</v>
      </c>
      <c r="M46" s="239">
        <v>0</v>
      </c>
      <c r="N46" s="239">
        <v>0</v>
      </c>
      <c r="O46" s="240" t="s">
        <v>348</v>
      </c>
      <c r="P46" s="88"/>
      <c r="Q46" s="454"/>
      <c r="R46" s="418"/>
      <c r="S46" s="442"/>
      <c r="T46" s="443"/>
    </row>
    <row r="47" spans="1:20" s="89" customFormat="1" ht="12" customHeight="1" thickBot="1" x14ac:dyDescent="0.35">
      <c r="A47" s="254" t="s">
        <v>90</v>
      </c>
      <c r="B47" s="48"/>
      <c r="C47" s="255">
        <f>SUM(C30:C46)</f>
        <v>1403</v>
      </c>
      <c r="D47" s="255">
        <f>SUM(D30:D46)</f>
        <v>1712</v>
      </c>
      <c r="E47" s="253">
        <f>SUM(E30:E46)</f>
        <v>69.213899999999995</v>
      </c>
      <c r="F47" s="253">
        <f t="shared" ref="F47:N47" si="1">SUM(F30:F46)</f>
        <v>74.712899999999991</v>
      </c>
      <c r="G47" s="253">
        <f t="shared" si="1"/>
        <v>53.131349999999998</v>
      </c>
      <c r="H47" s="253">
        <f t="shared" si="1"/>
        <v>57.937600000000003</v>
      </c>
      <c r="I47" s="253">
        <f t="shared" si="1"/>
        <v>219.01224999999999</v>
      </c>
      <c r="J47" s="253">
        <f t="shared" si="1"/>
        <v>247.821</v>
      </c>
      <c r="K47" s="253">
        <f t="shared" si="1"/>
        <v>1637.7783333333334</v>
      </c>
      <c r="L47" s="253">
        <f t="shared" si="1"/>
        <v>1836.5433333333333</v>
      </c>
      <c r="M47" s="253">
        <f t="shared" si="1"/>
        <v>24.348749999999999</v>
      </c>
      <c r="N47" s="253">
        <f t="shared" si="1"/>
        <v>22.014249999999997</v>
      </c>
      <c r="O47" s="242"/>
      <c r="P47" s="88"/>
      <c r="Q47" s="426"/>
      <c r="R47" s="460"/>
      <c r="S47" s="449"/>
      <c r="T47" s="450"/>
    </row>
    <row r="48" spans="1:20" s="89" customFormat="1" ht="14.5" customHeight="1" thickBot="1" x14ac:dyDescent="0.4">
      <c r="A48" s="778" t="s">
        <v>175</v>
      </c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80"/>
      <c r="P48" s="88"/>
      <c r="Q48" s="88"/>
      <c r="R48" s="88"/>
      <c r="S48" s="88"/>
    </row>
    <row r="49" spans="1:20" s="89" customFormat="1" ht="14.5" customHeight="1" thickBot="1" x14ac:dyDescent="0.35">
      <c r="A49" s="743" t="s">
        <v>161</v>
      </c>
      <c r="B49" s="67" t="s">
        <v>74</v>
      </c>
      <c r="C49" s="766" t="s">
        <v>76</v>
      </c>
      <c r="D49" s="767"/>
      <c r="E49" s="754" t="s">
        <v>101</v>
      </c>
      <c r="F49" s="754"/>
      <c r="G49" s="754"/>
      <c r="H49" s="754"/>
      <c r="I49" s="754"/>
      <c r="J49" s="755"/>
      <c r="K49" s="739" t="s">
        <v>160</v>
      </c>
      <c r="L49" s="788"/>
      <c r="M49" s="739" t="s">
        <v>80</v>
      </c>
      <c r="N49" s="740"/>
      <c r="O49" s="740" t="s">
        <v>209</v>
      </c>
      <c r="P49" s="88"/>
      <c r="Q49" s="88"/>
      <c r="R49" s="88"/>
      <c r="S49" s="88"/>
    </row>
    <row r="50" spans="1:20" s="89" customFormat="1" ht="14.5" customHeight="1" thickBot="1" x14ac:dyDescent="0.35">
      <c r="A50" s="744"/>
      <c r="B50" s="69" t="s">
        <v>75</v>
      </c>
      <c r="C50" s="753" t="s">
        <v>75</v>
      </c>
      <c r="D50" s="752"/>
      <c r="E50" s="756" t="s">
        <v>77</v>
      </c>
      <c r="F50" s="755"/>
      <c r="G50" s="756" t="s">
        <v>78</v>
      </c>
      <c r="H50" s="755"/>
      <c r="I50" s="756" t="s">
        <v>79</v>
      </c>
      <c r="J50" s="755"/>
      <c r="K50" s="765"/>
      <c r="L50" s="765"/>
      <c r="M50" s="741"/>
      <c r="N50" s="742"/>
      <c r="O50" s="748"/>
      <c r="P50" s="88"/>
      <c r="Q50" s="88"/>
      <c r="R50" s="88"/>
      <c r="S50" s="88"/>
    </row>
    <row r="51" spans="1:20" s="89" customFormat="1" ht="14.5" customHeight="1" thickBot="1" x14ac:dyDescent="0.35">
      <c r="A51" s="744"/>
      <c r="B51" s="72"/>
      <c r="C51" s="71" t="s">
        <v>158</v>
      </c>
      <c r="D51" s="71" t="s">
        <v>159</v>
      </c>
      <c r="E51" s="74" t="s">
        <v>158</v>
      </c>
      <c r="F51" s="74" t="s">
        <v>159</v>
      </c>
      <c r="G51" s="74" t="s">
        <v>158</v>
      </c>
      <c r="H51" s="74" t="s">
        <v>159</v>
      </c>
      <c r="I51" s="74" t="s">
        <v>158</v>
      </c>
      <c r="J51" s="74" t="s">
        <v>159</v>
      </c>
      <c r="K51" s="74" t="s">
        <v>158</v>
      </c>
      <c r="L51" s="74" t="s">
        <v>159</v>
      </c>
      <c r="M51" s="74" t="s">
        <v>158</v>
      </c>
      <c r="N51" s="74" t="s">
        <v>159</v>
      </c>
      <c r="O51" s="748"/>
      <c r="P51" s="88"/>
      <c r="Q51" s="88"/>
      <c r="R51" s="88"/>
      <c r="S51" s="88"/>
    </row>
    <row r="52" spans="1:20" s="89" customFormat="1" ht="14.5" customHeight="1" x14ac:dyDescent="0.3">
      <c r="A52" s="757" t="s">
        <v>81</v>
      </c>
      <c r="B52" s="27" t="s">
        <v>311</v>
      </c>
      <c r="C52" s="20">
        <v>155</v>
      </c>
      <c r="D52" s="20">
        <v>205</v>
      </c>
      <c r="E52" s="234">
        <v>1.64</v>
      </c>
      <c r="F52" s="234">
        <f>29.87*250/1000</f>
        <v>7.4675000000000002</v>
      </c>
      <c r="G52" s="234">
        <v>3.82</v>
      </c>
      <c r="H52" s="234">
        <f>27.39*250/1000</f>
        <v>6.8475000000000001</v>
      </c>
      <c r="I52" s="234">
        <v>16.899999999999999</v>
      </c>
      <c r="J52" s="234">
        <f>85.41*250/1000</f>
        <v>21.352499999999999</v>
      </c>
      <c r="K52" s="257">
        <v>109</v>
      </c>
      <c r="L52" s="257">
        <f>708*250/1000</f>
        <v>177</v>
      </c>
      <c r="M52" s="234">
        <v>0</v>
      </c>
      <c r="N52" s="234">
        <f>4.55*250/1000</f>
        <v>1.1375</v>
      </c>
      <c r="O52" s="235">
        <v>185</v>
      </c>
      <c r="P52" s="88"/>
      <c r="Q52" s="414">
        <v>185</v>
      </c>
      <c r="R52" s="415" t="s">
        <v>97</v>
      </c>
      <c r="S52" s="461">
        <v>160</v>
      </c>
      <c r="T52" s="462">
        <v>210</v>
      </c>
    </row>
    <row r="53" spans="1:20" s="88" customFormat="1" ht="14.5" customHeight="1" x14ac:dyDescent="0.3">
      <c r="A53" s="759"/>
      <c r="B53" s="92" t="s">
        <v>216</v>
      </c>
      <c r="C53" s="127" t="s">
        <v>302</v>
      </c>
      <c r="D53" s="127" t="s">
        <v>303</v>
      </c>
      <c r="E53" s="122">
        <v>4.16</v>
      </c>
      <c r="F53" s="122">
        <v>4.6100000000000003</v>
      </c>
      <c r="G53" s="122">
        <v>6.64</v>
      </c>
      <c r="H53" s="122">
        <v>6.66</v>
      </c>
      <c r="I53" s="122">
        <v>12.4</v>
      </c>
      <c r="J53" s="122">
        <v>15.49</v>
      </c>
      <c r="K53" s="122">
        <v>131.88</v>
      </c>
      <c r="L53" s="122">
        <v>147.6</v>
      </c>
      <c r="M53" s="122">
        <v>7.0000000000000007E-2</v>
      </c>
      <c r="N53" s="122">
        <v>7.0000000000000007E-2</v>
      </c>
      <c r="O53" s="258">
        <v>3</v>
      </c>
      <c r="P53" s="121"/>
      <c r="Q53" s="418">
        <v>3</v>
      </c>
      <c r="R53" s="419" t="s">
        <v>378</v>
      </c>
      <c r="S53" s="463" t="s">
        <v>354</v>
      </c>
      <c r="T53" s="464" t="s">
        <v>379</v>
      </c>
    </row>
    <row r="54" spans="1:20" s="89" customFormat="1" ht="14.5" customHeight="1" thickBot="1" x14ac:dyDescent="0.35">
      <c r="A54" s="759"/>
      <c r="B54" s="95" t="s">
        <v>53</v>
      </c>
      <c r="C54" s="126">
        <v>150</v>
      </c>
      <c r="D54" s="126">
        <v>180</v>
      </c>
      <c r="E54" s="239">
        <v>3.15</v>
      </c>
      <c r="F54" s="239">
        <v>3.67</v>
      </c>
      <c r="G54" s="239">
        <v>2.72</v>
      </c>
      <c r="H54" s="239">
        <v>3.19</v>
      </c>
      <c r="I54" s="239">
        <v>12.96</v>
      </c>
      <c r="J54" s="239">
        <v>15.82</v>
      </c>
      <c r="K54" s="239">
        <v>89</v>
      </c>
      <c r="L54" s="239">
        <v>107</v>
      </c>
      <c r="M54" s="239">
        <v>1.2</v>
      </c>
      <c r="N54" s="239">
        <v>1.43</v>
      </c>
      <c r="O54" s="240">
        <v>397</v>
      </c>
      <c r="P54" s="88"/>
      <c r="Q54" s="418">
        <v>397</v>
      </c>
      <c r="R54" s="419" t="s">
        <v>53</v>
      </c>
      <c r="S54" s="445">
        <v>150</v>
      </c>
      <c r="T54" s="446">
        <v>180</v>
      </c>
    </row>
    <row r="55" spans="1:20" s="89" customFormat="1" ht="14.5" customHeight="1" thickBot="1" x14ac:dyDescent="0.35">
      <c r="A55" s="259" t="s">
        <v>83</v>
      </c>
      <c r="B55" s="224" t="s">
        <v>115</v>
      </c>
      <c r="C55" s="260">
        <v>100</v>
      </c>
      <c r="D55" s="260">
        <v>100</v>
      </c>
      <c r="E55" s="245">
        <v>0.4</v>
      </c>
      <c r="F55" s="245">
        <v>0.4</v>
      </c>
      <c r="G55" s="245">
        <v>0.4</v>
      </c>
      <c r="H55" s="245">
        <v>0.4</v>
      </c>
      <c r="I55" s="245">
        <v>9.8000000000000007</v>
      </c>
      <c r="J55" s="245">
        <v>9.8000000000000007</v>
      </c>
      <c r="K55" s="261">
        <v>44</v>
      </c>
      <c r="L55" s="261">
        <v>44</v>
      </c>
      <c r="M55" s="245">
        <v>10</v>
      </c>
      <c r="N55" s="245">
        <v>10</v>
      </c>
      <c r="O55" s="246">
        <v>368</v>
      </c>
      <c r="P55" s="88"/>
      <c r="Q55" s="426"/>
      <c r="R55" s="427"/>
      <c r="S55" s="465"/>
      <c r="T55" s="466"/>
    </row>
    <row r="56" spans="1:20" s="89" customFormat="1" ht="14.5" customHeight="1" thickBot="1" x14ac:dyDescent="0.35">
      <c r="A56" s="759" t="s">
        <v>85</v>
      </c>
      <c r="B56" s="27" t="s">
        <v>312</v>
      </c>
      <c r="C56" s="20">
        <v>45</v>
      </c>
      <c r="D56" s="20">
        <v>60</v>
      </c>
      <c r="E56" s="234">
        <f>10.91*45/1000</f>
        <v>0.49095</v>
      </c>
      <c r="F56" s="234">
        <f>10.91*60/1000</f>
        <v>0.65460000000000007</v>
      </c>
      <c r="G56" s="234">
        <f>61.61*45/1000</f>
        <v>2.7724499999999996</v>
      </c>
      <c r="H56" s="234">
        <f>61.61*60/1000</f>
        <v>3.6966000000000001</v>
      </c>
      <c r="I56" s="234">
        <f>34.72*45/1000</f>
        <v>1.5623999999999998</v>
      </c>
      <c r="J56" s="234">
        <f>34.72*60/1000</f>
        <v>2.0831999999999997</v>
      </c>
      <c r="K56" s="257">
        <f>737*45/1000</f>
        <v>33.164999999999999</v>
      </c>
      <c r="L56" s="257">
        <f>737*60/1000</f>
        <v>44.22</v>
      </c>
      <c r="M56" s="234">
        <f>249*45/1000</f>
        <v>11.205</v>
      </c>
      <c r="N56" s="234">
        <f>249*60/1000</f>
        <v>14.94</v>
      </c>
      <c r="O56" s="235">
        <v>14</v>
      </c>
      <c r="P56" s="88"/>
      <c r="Q56" s="467">
        <v>401</v>
      </c>
      <c r="R56" s="468" t="s">
        <v>156</v>
      </c>
      <c r="S56" s="435">
        <v>200</v>
      </c>
      <c r="T56" s="483">
        <v>200</v>
      </c>
    </row>
    <row r="57" spans="1:20" s="88" customFormat="1" ht="14.5" customHeight="1" x14ac:dyDescent="0.3">
      <c r="A57" s="759"/>
      <c r="B57" s="92" t="s">
        <v>313</v>
      </c>
      <c r="C57" s="21">
        <v>210</v>
      </c>
      <c r="D57" s="21">
        <v>260</v>
      </c>
      <c r="E57" s="262">
        <f>4.81*200/1000</f>
        <v>0.96199999999999986</v>
      </c>
      <c r="F57" s="262">
        <f>4.81*250/1000</f>
        <v>1.2024999999999999</v>
      </c>
      <c r="G57" s="262">
        <f>1.66*200/1000</f>
        <v>0.33200000000000002</v>
      </c>
      <c r="H57" s="262">
        <f>1.66*250/1000</f>
        <v>0.41499999999999998</v>
      </c>
      <c r="I57" s="262">
        <f>82.19*200/1000+40</f>
        <v>56.438000000000002</v>
      </c>
      <c r="J57" s="262">
        <f>82.19*250/1000+100</f>
        <v>120.5475</v>
      </c>
      <c r="K57" s="262">
        <f>41*200/1000</f>
        <v>8.1999999999999993</v>
      </c>
      <c r="L57" s="262">
        <f>41*250/1000</f>
        <v>10.25</v>
      </c>
      <c r="M57" s="262">
        <f>1.89*200/1000</f>
        <v>0.378</v>
      </c>
      <c r="N57" s="262">
        <f>1.89*250/1000</f>
        <v>0.47249999999999998</v>
      </c>
      <c r="O57" s="247">
        <v>108</v>
      </c>
      <c r="Q57" s="437">
        <v>22</v>
      </c>
      <c r="R57" s="438" t="s">
        <v>382</v>
      </c>
      <c r="S57" s="439">
        <v>45</v>
      </c>
      <c r="T57" s="440">
        <v>60</v>
      </c>
    </row>
    <row r="58" spans="1:20" s="89" customFormat="1" ht="14.5" customHeight="1" x14ac:dyDescent="0.3">
      <c r="A58" s="758"/>
      <c r="B58" s="92" t="s">
        <v>315</v>
      </c>
      <c r="C58" s="21">
        <v>200</v>
      </c>
      <c r="D58" s="21">
        <v>200</v>
      </c>
      <c r="E58" s="122">
        <f>29.1*200/300</f>
        <v>19.399999999999999</v>
      </c>
      <c r="F58" s="122">
        <f>29.1*200/300</f>
        <v>19.399999999999999</v>
      </c>
      <c r="G58" s="122">
        <f>70*200/300</f>
        <v>46.666666666666664</v>
      </c>
      <c r="H58" s="122">
        <f>70*200/300</f>
        <v>46.666666666666664</v>
      </c>
      <c r="I58" s="122">
        <f>17.4*200/300</f>
        <v>11.599999999999998</v>
      </c>
      <c r="J58" s="122">
        <f>17.4*200/300</f>
        <v>11.599999999999998</v>
      </c>
      <c r="K58" s="256">
        <f>817*200/300</f>
        <v>544.66666666666663</v>
      </c>
      <c r="L58" s="256">
        <f>817*200/300</f>
        <v>544.66666666666663</v>
      </c>
      <c r="M58" s="122">
        <f>40.2*200/300</f>
        <v>26.800000000000004</v>
      </c>
      <c r="N58" s="122">
        <f>40.2*200/300</f>
        <v>26.800000000000004</v>
      </c>
      <c r="O58" s="236">
        <v>365</v>
      </c>
      <c r="P58" s="88"/>
      <c r="Q58" s="422">
        <v>58</v>
      </c>
      <c r="R58" s="419" t="s">
        <v>250</v>
      </c>
      <c r="S58" s="319">
        <v>190</v>
      </c>
      <c r="T58" s="330">
        <v>210</v>
      </c>
    </row>
    <row r="59" spans="1:20" s="89" customFormat="1" ht="14.5" customHeight="1" x14ac:dyDescent="0.3">
      <c r="A59" s="759"/>
      <c r="B59" s="92" t="s">
        <v>147</v>
      </c>
      <c r="C59" s="21">
        <v>150</v>
      </c>
      <c r="D59" s="21">
        <v>180</v>
      </c>
      <c r="E59" s="122">
        <v>0.51</v>
      </c>
      <c r="F59" s="122">
        <v>0.61</v>
      </c>
      <c r="G59" s="122">
        <v>0.21</v>
      </c>
      <c r="H59" s="122">
        <v>0.25</v>
      </c>
      <c r="I59" s="122">
        <v>14.23</v>
      </c>
      <c r="J59" s="122">
        <v>18.670000000000002</v>
      </c>
      <c r="K59" s="122">
        <v>61</v>
      </c>
      <c r="L59" s="122">
        <v>79</v>
      </c>
      <c r="M59" s="122">
        <v>75</v>
      </c>
      <c r="N59" s="122">
        <v>90</v>
      </c>
      <c r="O59" s="236">
        <v>398</v>
      </c>
      <c r="P59" s="88"/>
      <c r="Q59" s="469" t="s">
        <v>314</v>
      </c>
      <c r="R59" s="419" t="s">
        <v>315</v>
      </c>
      <c r="S59" s="423">
        <v>200</v>
      </c>
      <c r="T59" s="424">
        <v>200</v>
      </c>
    </row>
    <row r="60" spans="1:20" s="89" customFormat="1" ht="14.5" customHeight="1" x14ac:dyDescent="0.3">
      <c r="A60" s="759"/>
      <c r="B60" s="92" t="s">
        <v>72</v>
      </c>
      <c r="C60" s="119">
        <v>20</v>
      </c>
      <c r="D60" s="119">
        <v>25</v>
      </c>
      <c r="E60" s="122">
        <f>7.6*20/100</f>
        <v>1.52</v>
      </c>
      <c r="F60" s="122">
        <f>7.6*25/100</f>
        <v>1.9</v>
      </c>
      <c r="G60" s="122">
        <f>0.8*20/1000</f>
        <v>1.6E-2</v>
      </c>
      <c r="H60" s="122">
        <f>0.8*25/1000</f>
        <v>0.02</v>
      </c>
      <c r="I60" s="122">
        <f>49.2*20/100</f>
        <v>9.84</v>
      </c>
      <c r="J60" s="122">
        <f>49.2*25/100</f>
        <v>12.3</v>
      </c>
      <c r="K60" s="256">
        <f>235*20/100</f>
        <v>47</v>
      </c>
      <c r="L60" s="256">
        <f>235*25/100</f>
        <v>58.75</v>
      </c>
      <c r="M60" s="122">
        <v>0</v>
      </c>
      <c r="N60" s="122">
        <v>0</v>
      </c>
      <c r="O60" s="236" t="s">
        <v>277</v>
      </c>
      <c r="P60" s="88"/>
      <c r="Q60" s="418">
        <v>378</v>
      </c>
      <c r="R60" s="419" t="s">
        <v>246</v>
      </c>
      <c r="S60" s="423">
        <v>150</v>
      </c>
      <c r="T60" s="425">
        <v>180</v>
      </c>
    </row>
    <row r="61" spans="1:20" s="89" customFormat="1" ht="14.5" customHeight="1" thickBot="1" x14ac:dyDescent="0.35">
      <c r="A61" s="759"/>
      <c r="B61" s="95" t="s">
        <v>17</v>
      </c>
      <c r="C61" s="126">
        <v>17</v>
      </c>
      <c r="D61" s="126">
        <v>21</v>
      </c>
      <c r="E61" s="239">
        <f>5.6*17/100</f>
        <v>0.95199999999999985</v>
      </c>
      <c r="F61" s="239">
        <f>5.6*21/100</f>
        <v>1.1759999999999999</v>
      </c>
      <c r="G61" s="239">
        <f>1.1*17/100</f>
        <v>0.18700000000000003</v>
      </c>
      <c r="H61" s="239">
        <f>1.1*21/100</f>
        <v>0.23100000000000001</v>
      </c>
      <c r="I61" s="239">
        <f>49.4*17/100</f>
        <v>8.3979999999999997</v>
      </c>
      <c r="J61" s="239">
        <f>49.4*17/100</f>
        <v>8.3979999999999997</v>
      </c>
      <c r="K61" s="263">
        <f>232*17/100</f>
        <v>39.44</v>
      </c>
      <c r="L61" s="263">
        <f>232*21/100</f>
        <v>48.72</v>
      </c>
      <c r="M61" s="239">
        <v>0</v>
      </c>
      <c r="N61" s="239">
        <v>0</v>
      </c>
      <c r="O61" s="240" t="s">
        <v>277</v>
      </c>
      <c r="P61" s="88"/>
      <c r="Q61" s="422">
        <v>1</v>
      </c>
      <c r="R61" s="419" t="s">
        <v>72</v>
      </c>
      <c r="S61" s="420">
        <v>20</v>
      </c>
      <c r="T61" s="470">
        <v>25</v>
      </c>
    </row>
    <row r="62" spans="1:20" s="89" customFormat="1" ht="14.5" customHeight="1" x14ac:dyDescent="0.3">
      <c r="A62" s="762" t="s">
        <v>86</v>
      </c>
      <c r="B62" s="27" t="s">
        <v>316</v>
      </c>
      <c r="C62" s="20">
        <v>125</v>
      </c>
      <c r="D62" s="20">
        <v>165</v>
      </c>
      <c r="E62" s="234">
        <v>7.64</v>
      </c>
      <c r="F62" s="234">
        <v>10.18</v>
      </c>
      <c r="G62" s="234">
        <v>3.91</v>
      </c>
      <c r="H62" s="234">
        <v>6.25</v>
      </c>
      <c r="I62" s="234">
        <v>20.36</v>
      </c>
      <c r="J62" s="234">
        <v>27.33</v>
      </c>
      <c r="K62" s="257">
        <v>147</v>
      </c>
      <c r="L62" s="257">
        <v>206</v>
      </c>
      <c r="M62" s="234">
        <v>4.08</v>
      </c>
      <c r="N62" s="234">
        <v>5.43</v>
      </c>
      <c r="O62" s="235">
        <v>291</v>
      </c>
      <c r="P62" s="88"/>
      <c r="Q62" s="471">
        <v>1</v>
      </c>
      <c r="R62" s="472" t="s">
        <v>17</v>
      </c>
      <c r="S62" s="473">
        <v>17</v>
      </c>
      <c r="T62" s="474">
        <v>21</v>
      </c>
    </row>
    <row r="63" spans="1:20" s="89" customFormat="1" ht="14.5" customHeight="1" x14ac:dyDescent="0.3">
      <c r="A63" s="768"/>
      <c r="B63" s="92" t="s">
        <v>157</v>
      </c>
      <c r="C63" s="127" t="s">
        <v>254</v>
      </c>
      <c r="D63" s="127" t="s">
        <v>206</v>
      </c>
      <c r="E63" s="122">
        <v>0</v>
      </c>
      <c r="F63" s="122">
        <f>4.25</f>
        <v>4.25</v>
      </c>
      <c r="G63" s="122">
        <v>0</v>
      </c>
      <c r="H63" s="122">
        <f>2.13</f>
        <v>2.13</v>
      </c>
      <c r="I63" s="122">
        <v>0</v>
      </c>
      <c r="J63" s="122">
        <v>0</v>
      </c>
      <c r="K63" s="256">
        <v>0</v>
      </c>
      <c r="L63" s="256">
        <v>36</v>
      </c>
      <c r="M63" s="122">
        <v>0</v>
      </c>
      <c r="N63" s="122">
        <v>0</v>
      </c>
      <c r="O63" s="236">
        <v>8</v>
      </c>
      <c r="P63" s="88"/>
      <c r="Q63" s="471"/>
      <c r="R63" s="472"/>
      <c r="S63" s="473"/>
      <c r="T63" s="474"/>
    </row>
    <row r="64" spans="1:20" s="89" customFormat="1" ht="14.5" customHeight="1" thickBot="1" x14ac:dyDescent="0.35">
      <c r="A64" s="768"/>
      <c r="B64" s="92" t="s">
        <v>288</v>
      </c>
      <c r="C64" s="21">
        <v>150</v>
      </c>
      <c r="D64" s="21">
        <v>180</v>
      </c>
      <c r="E64" s="21">
        <v>7.0000000000000007E-2</v>
      </c>
      <c r="F64" s="122">
        <v>0.12</v>
      </c>
      <c r="G64" s="122">
        <v>0.02</v>
      </c>
      <c r="H64" s="122">
        <v>0.02</v>
      </c>
      <c r="I64" s="122">
        <v>7.1</v>
      </c>
      <c r="J64" s="122">
        <v>10.199999999999999</v>
      </c>
      <c r="K64" s="256">
        <v>29</v>
      </c>
      <c r="L64" s="256">
        <v>41</v>
      </c>
      <c r="M64" s="122">
        <v>1.42</v>
      </c>
      <c r="N64" s="122">
        <v>2.83</v>
      </c>
      <c r="O64" s="236">
        <v>398</v>
      </c>
      <c r="P64" s="88"/>
      <c r="Q64" s="471"/>
      <c r="R64" s="472"/>
      <c r="S64" s="473"/>
      <c r="T64" s="474"/>
    </row>
    <row r="65" spans="1:21" s="89" customFormat="1" ht="14.5" customHeight="1" thickBot="1" x14ac:dyDescent="0.35">
      <c r="A65" s="769"/>
      <c r="B65" s="95" t="s">
        <v>155</v>
      </c>
      <c r="C65" s="126">
        <v>17</v>
      </c>
      <c r="D65" s="126">
        <v>21</v>
      </c>
      <c r="E65" s="239">
        <f>5.6*17/100</f>
        <v>0.95199999999999985</v>
      </c>
      <c r="F65" s="239">
        <f>5.6*21/100</f>
        <v>1.1759999999999999</v>
      </c>
      <c r="G65" s="239">
        <f>1.1*17/100</f>
        <v>0.18700000000000003</v>
      </c>
      <c r="H65" s="239">
        <f>1.1*21/100</f>
        <v>0.23100000000000001</v>
      </c>
      <c r="I65" s="239">
        <f>49.4*17/100</f>
        <v>8.3979999999999997</v>
      </c>
      <c r="J65" s="239">
        <f>49.4*17/100</f>
        <v>8.3979999999999997</v>
      </c>
      <c r="K65" s="263">
        <f>232*17/100</f>
        <v>39.44</v>
      </c>
      <c r="L65" s="263">
        <f>232*21/100</f>
        <v>48.72</v>
      </c>
      <c r="M65" s="239">
        <v>0</v>
      </c>
      <c r="N65" s="239">
        <v>0</v>
      </c>
      <c r="O65" s="240" t="s">
        <v>277</v>
      </c>
      <c r="P65" s="88"/>
      <c r="Q65" s="504" t="s">
        <v>383</v>
      </c>
      <c r="R65" s="415" t="s">
        <v>384</v>
      </c>
      <c r="S65" s="461" t="s">
        <v>385</v>
      </c>
      <c r="T65" s="462" t="s">
        <v>385</v>
      </c>
    </row>
    <row r="66" spans="1:21" s="89" customFormat="1" ht="14.5" customHeight="1" thickBot="1" x14ac:dyDescent="0.35">
      <c r="A66" s="100" t="s">
        <v>90</v>
      </c>
      <c r="B66" s="185"/>
      <c r="C66" s="264">
        <f>SUM(C52:C65)</f>
        <v>1339</v>
      </c>
      <c r="D66" s="264">
        <f>SUM(D52:D65)</f>
        <v>1597</v>
      </c>
      <c r="E66" s="265">
        <f>SUM(E52:E65)</f>
        <v>41.84695</v>
      </c>
      <c r="F66" s="265">
        <f t="shared" ref="F66:N66" si="2">SUM(F52:F65)</f>
        <v>56.816600000000001</v>
      </c>
      <c r="G66" s="265">
        <f t="shared" si="2"/>
        <v>67.881116666666657</v>
      </c>
      <c r="H66" s="265">
        <f t="shared" si="2"/>
        <v>77.00776666666664</v>
      </c>
      <c r="I66" s="265">
        <f t="shared" si="2"/>
        <v>189.9864</v>
      </c>
      <c r="J66" s="265">
        <f t="shared" si="2"/>
        <v>281.98920000000004</v>
      </c>
      <c r="K66" s="265">
        <f t="shared" si="2"/>
        <v>1322.7916666666667</v>
      </c>
      <c r="L66" s="265">
        <f t="shared" si="2"/>
        <v>1592.9266666666667</v>
      </c>
      <c r="M66" s="265">
        <f t="shared" si="2"/>
        <v>130.15299999999999</v>
      </c>
      <c r="N66" s="265">
        <f t="shared" si="2"/>
        <v>153.11000000000004</v>
      </c>
      <c r="O66" s="242"/>
      <c r="P66" s="88"/>
      <c r="Q66" s="492">
        <v>315</v>
      </c>
      <c r="R66" s="493" t="s">
        <v>447</v>
      </c>
      <c r="S66" s="494">
        <v>100</v>
      </c>
      <c r="T66" s="495">
        <v>100</v>
      </c>
    </row>
    <row r="67" spans="1:21" s="89" customFormat="1" ht="14.5" customHeight="1" thickBot="1" x14ac:dyDescent="0.4">
      <c r="A67" s="736" t="s">
        <v>176</v>
      </c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80"/>
      <c r="P67" s="88"/>
      <c r="Q67" s="418">
        <v>393</v>
      </c>
      <c r="R67" s="419" t="s">
        <v>288</v>
      </c>
      <c r="S67" s="423">
        <v>150</v>
      </c>
      <c r="T67" s="424">
        <v>180</v>
      </c>
    </row>
    <row r="68" spans="1:21" ht="14.5" customHeight="1" thickBot="1" x14ac:dyDescent="0.35">
      <c r="A68" s="774" t="s">
        <v>161</v>
      </c>
      <c r="B68" s="67" t="s">
        <v>74</v>
      </c>
      <c r="C68" s="766" t="s">
        <v>76</v>
      </c>
      <c r="D68" s="767"/>
      <c r="E68" s="756" t="s">
        <v>101</v>
      </c>
      <c r="F68" s="754"/>
      <c r="G68" s="754"/>
      <c r="H68" s="754"/>
      <c r="I68" s="754"/>
      <c r="J68" s="755"/>
      <c r="K68" s="739" t="s">
        <v>160</v>
      </c>
      <c r="L68" s="740"/>
      <c r="M68" s="739" t="s">
        <v>80</v>
      </c>
      <c r="N68" s="740"/>
      <c r="O68" s="746" t="s">
        <v>209</v>
      </c>
      <c r="P68" s="55"/>
      <c r="Q68" s="418">
        <v>1</v>
      </c>
      <c r="R68" s="419" t="s">
        <v>155</v>
      </c>
      <c r="S68" s="423">
        <v>17</v>
      </c>
      <c r="T68" s="424">
        <v>21</v>
      </c>
      <c r="U68" s="56"/>
    </row>
    <row r="69" spans="1:21" ht="14.5" customHeight="1" thickBot="1" x14ac:dyDescent="0.35">
      <c r="A69" s="775"/>
      <c r="B69" s="69" t="s">
        <v>75</v>
      </c>
      <c r="C69" s="753" t="s">
        <v>75</v>
      </c>
      <c r="D69" s="752"/>
      <c r="E69" s="753" t="s">
        <v>77</v>
      </c>
      <c r="F69" s="752"/>
      <c r="G69" s="753" t="s">
        <v>78</v>
      </c>
      <c r="H69" s="752"/>
      <c r="I69" s="753" t="s">
        <v>79</v>
      </c>
      <c r="J69" s="752"/>
      <c r="K69" s="741"/>
      <c r="L69" s="742"/>
      <c r="M69" s="741"/>
      <c r="N69" s="742"/>
      <c r="O69" s="747"/>
      <c r="Q69" s="426"/>
      <c r="R69" s="427" t="s">
        <v>300</v>
      </c>
      <c r="S69" s="449">
        <v>35</v>
      </c>
      <c r="T69" s="475">
        <v>50</v>
      </c>
    </row>
    <row r="70" spans="1:21" ht="14.5" customHeight="1" thickBot="1" x14ac:dyDescent="0.35">
      <c r="A70" s="775"/>
      <c r="B70" s="72"/>
      <c r="C70" s="71" t="s">
        <v>158</v>
      </c>
      <c r="D70" s="71" t="s">
        <v>159</v>
      </c>
      <c r="E70" s="74" t="s">
        <v>158</v>
      </c>
      <c r="F70" s="74" t="s">
        <v>159</v>
      </c>
      <c r="G70" s="74" t="s">
        <v>158</v>
      </c>
      <c r="H70" s="74" t="s">
        <v>159</v>
      </c>
      <c r="I70" s="74" t="s">
        <v>158</v>
      </c>
      <c r="J70" s="75" t="s">
        <v>159</v>
      </c>
      <c r="K70" s="74" t="s">
        <v>158</v>
      </c>
      <c r="L70" s="74" t="s">
        <v>159</v>
      </c>
      <c r="M70" s="74" t="s">
        <v>158</v>
      </c>
      <c r="N70" s="74" t="s">
        <v>159</v>
      </c>
      <c r="O70" s="748"/>
    </row>
    <row r="71" spans="1:21" ht="14.5" customHeight="1" x14ac:dyDescent="0.3">
      <c r="A71" s="757"/>
      <c r="B71" s="27" t="s">
        <v>317</v>
      </c>
      <c r="C71" s="20">
        <v>155</v>
      </c>
      <c r="D71" s="20">
        <v>155</v>
      </c>
      <c r="E71" s="234">
        <f>4.57*150/65</f>
        <v>10.546153846153846</v>
      </c>
      <c r="F71" s="234">
        <f>4.57*150/65</f>
        <v>10.546153846153846</v>
      </c>
      <c r="G71" s="234">
        <f>9.5*155/65</f>
        <v>22.653846153846153</v>
      </c>
      <c r="H71" s="234">
        <f>9.5*155/65</f>
        <v>22.653846153846153</v>
      </c>
      <c r="I71" s="234">
        <f>3.79*155/65</f>
        <v>9.0376923076923088</v>
      </c>
      <c r="J71" s="234">
        <f>3.79*155/65</f>
        <v>9.0376923076923088</v>
      </c>
      <c r="K71" s="234">
        <f>132*155/65</f>
        <v>314.76923076923077</v>
      </c>
      <c r="L71" s="234">
        <f>132*155/65</f>
        <v>314.76923076923077</v>
      </c>
      <c r="M71" s="234">
        <f>0.7*155/65</f>
        <v>1.6692307692307693</v>
      </c>
      <c r="N71" s="234">
        <f>0.7*155/65</f>
        <v>1.6692307692307693</v>
      </c>
      <c r="O71" s="235">
        <v>216</v>
      </c>
      <c r="R71" s="414">
        <v>168</v>
      </c>
      <c r="S71" s="415" t="s">
        <v>325</v>
      </c>
      <c r="T71" s="461">
        <v>150</v>
      </c>
      <c r="U71" s="477">
        <v>200</v>
      </c>
    </row>
    <row r="72" spans="1:21" s="89" customFormat="1" ht="14.5" customHeight="1" x14ac:dyDescent="0.3">
      <c r="A72" s="759"/>
      <c r="B72" s="92" t="s">
        <v>318</v>
      </c>
      <c r="C72" s="127" t="s">
        <v>299</v>
      </c>
      <c r="D72" s="127" t="s">
        <v>349</v>
      </c>
      <c r="E72" s="122">
        <f>2.45*29/40</f>
        <v>1.7762500000000003</v>
      </c>
      <c r="F72" s="122">
        <v>3.26</v>
      </c>
      <c r="G72" s="122">
        <f>7.55*29/40</f>
        <v>5.4737499999999999</v>
      </c>
      <c r="H72" s="122">
        <v>4.03</v>
      </c>
      <c r="I72" s="122">
        <f>14.62*29/40</f>
        <v>10.599499999999999</v>
      </c>
      <c r="J72" s="122">
        <v>29.14</v>
      </c>
      <c r="K72" s="122">
        <f>136*29/40</f>
        <v>98.6</v>
      </c>
      <c r="L72" s="122">
        <v>166</v>
      </c>
      <c r="M72" s="122">
        <v>0</v>
      </c>
      <c r="N72" s="122">
        <v>0.08</v>
      </c>
      <c r="O72" s="236">
        <v>5</v>
      </c>
      <c r="P72" s="88"/>
      <c r="Q72" s="88"/>
      <c r="R72" s="418">
        <v>3</v>
      </c>
      <c r="S72" s="419" t="s">
        <v>565</v>
      </c>
      <c r="T72" s="463" t="s">
        <v>566</v>
      </c>
      <c r="U72" s="478" t="s">
        <v>567</v>
      </c>
    </row>
    <row r="73" spans="1:21" s="89" customFormat="1" ht="14.5" customHeight="1" thickBot="1" x14ac:dyDescent="0.35">
      <c r="A73" s="759"/>
      <c r="B73" s="95" t="s">
        <v>71</v>
      </c>
      <c r="C73" s="133">
        <v>150</v>
      </c>
      <c r="D73" s="133">
        <v>180</v>
      </c>
      <c r="E73" s="239">
        <v>2.34</v>
      </c>
      <c r="F73" s="239">
        <v>2.85</v>
      </c>
      <c r="G73" s="239">
        <v>2</v>
      </c>
      <c r="H73" s="239">
        <v>2.41</v>
      </c>
      <c r="I73" s="239">
        <v>10.63</v>
      </c>
      <c r="J73" s="239">
        <v>14.36</v>
      </c>
      <c r="K73" s="239">
        <v>70</v>
      </c>
      <c r="L73" s="239">
        <v>91</v>
      </c>
      <c r="M73" s="239">
        <v>0.98</v>
      </c>
      <c r="N73" s="239">
        <v>1.17</v>
      </c>
      <c r="O73" s="240">
        <v>6</v>
      </c>
      <c r="P73" s="88"/>
      <c r="Q73" s="88"/>
      <c r="R73" s="422">
        <v>394</v>
      </c>
      <c r="S73" s="419" t="s">
        <v>50</v>
      </c>
      <c r="T73" s="423">
        <v>150</v>
      </c>
      <c r="U73" s="424">
        <v>180</v>
      </c>
    </row>
    <row r="74" spans="1:21" s="89" customFormat="1" ht="14.5" customHeight="1" thickBot="1" x14ac:dyDescent="0.35">
      <c r="A74" s="128" t="s">
        <v>83</v>
      </c>
      <c r="B74" s="243" t="s">
        <v>306</v>
      </c>
      <c r="C74" s="260">
        <v>150</v>
      </c>
      <c r="D74" s="260">
        <v>180</v>
      </c>
      <c r="E74" s="245">
        <f>10*150/200</f>
        <v>7.5</v>
      </c>
      <c r="F74" s="245">
        <f>10*180/200</f>
        <v>9</v>
      </c>
      <c r="G74" s="245">
        <f>6.4*150/200</f>
        <v>4.8</v>
      </c>
      <c r="H74" s="245">
        <f>6.4*180/200</f>
        <v>5.76</v>
      </c>
      <c r="I74" s="245">
        <f>17*150/200</f>
        <v>12.75</v>
      </c>
      <c r="J74" s="245">
        <f>17*180/200</f>
        <v>15.3</v>
      </c>
      <c r="K74" s="245">
        <f>174*150/200</f>
        <v>130.5</v>
      </c>
      <c r="L74" s="245">
        <f>174*180/200</f>
        <v>156.6</v>
      </c>
      <c r="M74" s="245">
        <f>1.2*150/200</f>
        <v>0.9</v>
      </c>
      <c r="N74" s="245">
        <f>1.2*180/200</f>
        <v>1.08</v>
      </c>
      <c r="O74" s="246">
        <v>368</v>
      </c>
      <c r="P74" s="88"/>
      <c r="Q74" s="88"/>
      <c r="R74" s="479"/>
      <c r="S74" s="472"/>
      <c r="T74" s="484"/>
      <c r="U74" s="485"/>
    </row>
    <row r="75" spans="1:21" s="89" customFormat="1" ht="14.5" customHeight="1" thickBot="1" x14ac:dyDescent="0.35">
      <c r="A75" s="762" t="s">
        <v>85</v>
      </c>
      <c r="B75" s="27" t="s">
        <v>319</v>
      </c>
      <c r="C75" s="20">
        <v>45</v>
      </c>
      <c r="D75" s="20">
        <v>60</v>
      </c>
      <c r="E75" s="234">
        <f>18.63*45/1000</f>
        <v>0.83834999999999993</v>
      </c>
      <c r="F75" s="234">
        <f>18.63*60/1000</f>
        <v>1.1177999999999999</v>
      </c>
      <c r="G75" s="234">
        <f>52.92*45/1000</f>
        <v>2.3814000000000002</v>
      </c>
      <c r="H75" s="234">
        <f>52.92*60/1000</f>
        <v>3.1752000000000002</v>
      </c>
      <c r="I75" s="234">
        <f>83.6*45/1000</f>
        <v>3.7619999999999996</v>
      </c>
      <c r="J75" s="234">
        <f>83.6*60/1000</f>
        <v>5.016</v>
      </c>
      <c r="K75" s="234">
        <f>939*45/1000</f>
        <v>42.255000000000003</v>
      </c>
      <c r="L75" s="234">
        <f>935*60/1000</f>
        <v>56.1</v>
      </c>
      <c r="M75" s="234">
        <f>95*45/1000</f>
        <v>4.2750000000000004</v>
      </c>
      <c r="N75" s="234">
        <f>95*60/1000</f>
        <v>5.7</v>
      </c>
      <c r="O75" s="235">
        <v>48</v>
      </c>
      <c r="P75" s="88"/>
      <c r="Q75" s="88"/>
      <c r="R75" s="467">
        <v>368</v>
      </c>
      <c r="S75" s="468" t="s">
        <v>115</v>
      </c>
      <c r="T75" s="435">
        <v>100</v>
      </c>
      <c r="U75" s="486">
        <v>100</v>
      </c>
    </row>
    <row r="76" spans="1:21" s="89" customFormat="1" ht="14.5" customHeight="1" x14ac:dyDescent="0.3">
      <c r="A76" s="768"/>
      <c r="B76" s="92" t="s">
        <v>241</v>
      </c>
      <c r="C76" s="18">
        <v>220</v>
      </c>
      <c r="D76" s="18">
        <v>275</v>
      </c>
      <c r="E76" s="122">
        <f>26.54*200/1000</f>
        <v>5.3079999999999998</v>
      </c>
      <c r="F76" s="122">
        <f>26.54*250/1000</f>
        <v>6.6349999999999998</v>
      </c>
      <c r="G76" s="122">
        <f>20.72*200/1000</f>
        <v>4.1440000000000001</v>
      </c>
      <c r="H76" s="122">
        <f>20.72*250/1000</f>
        <v>5.18</v>
      </c>
      <c r="I76" s="122">
        <f>61.77*200/1000</f>
        <v>12.353999999999999</v>
      </c>
      <c r="J76" s="122">
        <f>61.77*250/1000</f>
        <v>15.442500000000001</v>
      </c>
      <c r="K76" s="122">
        <f>540*200/1000</f>
        <v>108</v>
      </c>
      <c r="L76" s="122">
        <f>540*250/1000</f>
        <v>135</v>
      </c>
      <c r="M76" s="122">
        <f>44.8*200/1000</f>
        <v>8.9600000000000009</v>
      </c>
      <c r="N76" s="122">
        <f>44.8*250/1000</f>
        <v>11.2</v>
      </c>
      <c r="O76" s="236">
        <v>83</v>
      </c>
      <c r="P76" s="88"/>
      <c r="Q76" s="88"/>
      <c r="R76" s="441">
        <v>54</v>
      </c>
      <c r="S76" s="438" t="s">
        <v>296</v>
      </c>
      <c r="T76" s="439">
        <v>45</v>
      </c>
      <c r="U76" s="440">
        <v>60</v>
      </c>
    </row>
    <row r="77" spans="1:21" s="89" customFormat="1" ht="14.5" customHeight="1" x14ac:dyDescent="0.3">
      <c r="A77" s="768"/>
      <c r="B77" s="92" t="s">
        <v>238</v>
      </c>
      <c r="C77" s="21">
        <v>60</v>
      </c>
      <c r="D77" s="21">
        <v>80</v>
      </c>
      <c r="E77" s="122">
        <v>12.66</v>
      </c>
      <c r="F77" s="122">
        <v>16.88</v>
      </c>
      <c r="G77" s="122">
        <v>8.16</v>
      </c>
      <c r="H77" s="122">
        <v>15.84</v>
      </c>
      <c r="I77" s="122">
        <v>0</v>
      </c>
      <c r="J77" s="122">
        <v>0</v>
      </c>
      <c r="K77" s="122">
        <v>124</v>
      </c>
      <c r="L77" s="122">
        <v>165</v>
      </c>
      <c r="M77" s="122">
        <v>0</v>
      </c>
      <c r="N77" s="122">
        <v>0</v>
      </c>
      <c r="O77" s="236">
        <v>300</v>
      </c>
      <c r="P77" s="88"/>
      <c r="Q77" s="88"/>
      <c r="R77" s="418">
        <v>83</v>
      </c>
      <c r="S77" s="419" t="s">
        <v>387</v>
      </c>
      <c r="T77" s="323">
        <v>190</v>
      </c>
      <c r="U77" s="326">
        <v>200</v>
      </c>
    </row>
    <row r="78" spans="1:21" s="89" customFormat="1" ht="14.5" customHeight="1" x14ac:dyDescent="0.3">
      <c r="A78" s="768"/>
      <c r="B78" s="92" t="s">
        <v>320</v>
      </c>
      <c r="C78" s="21">
        <v>150</v>
      </c>
      <c r="D78" s="21">
        <v>180</v>
      </c>
      <c r="E78" s="122">
        <v>2.9</v>
      </c>
      <c r="F78" s="122">
        <f>2.9*180/150</f>
        <v>3.48</v>
      </c>
      <c r="G78" s="122">
        <f>7.4*150/150</f>
        <v>7.4</v>
      </c>
      <c r="H78" s="122">
        <f>7.4*180/150</f>
        <v>8.8800000000000008</v>
      </c>
      <c r="I78" s="122">
        <f>15.4*150/150</f>
        <v>15.4</v>
      </c>
      <c r="J78" s="122">
        <f>15.4*180/150</f>
        <v>18.48</v>
      </c>
      <c r="K78" s="122">
        <v>139.9</v>
      </c>
      <c r="L78" s="122">
        <f>139.9*180/150</f>
        <v>167.88</v>
      </c>
      <c r="M78" s="122">
        <f>32*150/150</f>
        <v>32</v>
      </c>
      <c r="N78" s="122">
        <f>32*150/150</f>
        <v>32</v>
      </c>
      <c r="O78" s="247" t="s">
        <v>321</v>
      </c>
      <c r="P78" s="88"/>
      <c r="Q78" s="88"/>
      <c r="R78" s="418">
        <v>306</v>
      </c>
      <c r="S78" s="419" t="s">
        <v>388</v>
      </c>
      <c r="T78" s="423">
        <v>60</v>
      </c>
      <c r="U78" s="425">
        <v>80</v>
      </c>
    </row>
    <row r="79" spans="1:21" s="89" customFormat="1" ht="14.5" customHeight="1" x14ac:dyDescent="0.3">
      <c r="A79" s="763"/>
      <c r="B79" s="92" t="s">
        <v>246</v>
      </c>
      <c r="C79" s="21">
        <v>150</v>
      </c>
      <c r="D79" s="21">
        <v>180</v>
      </c>
      <c r="E79" s="122">
        <f>0.72*150/1000</f>
        <v>0.108</v>
      </c>
      <c r="F79" s="122">
        <f>0.72*180/1000</f>
        <v>0.12959999999999999</v>
      </c>
      <c r="G79" s="122">
        <f>0.2*150/1000</f>
        <v>0.03</v>
      </c>
      <c r="H79" s="122">
        <f>0.2*180/1000</f>
        <v>3.5999999999999997E-2</v>
      </c>
      <c r="I79" s="122">
        <f>137.38*150/1000</f>
        <v>20.606999999999999</v>
      </c>
      <c r="J79" s="122">
        <f>137.38*180/1000</f>
        <v>24.728399999999997</v>
      </c>
      <c r="K79" s="122">
        <f>554*150/1000</f>
        <v>83.1</v>
      </c>
      <c r="L79" s="122">
        <f>554*180/1000</f>
        <v>99.72</v>
      </c>
      <c r="M79" s="122">
        <f>9.15*150/1000</f>
        <v>1.3725000000000001</v>
      </c>
      <c r="N79" s="122">
        <f>9.15*180/1000</f>
        <v>1.647</v>
      </c>
      <c r="O79" s="236">
        <v>378</v>
      </c>
      <c r="P79" s="88"/>
      <c r="Q79" s="88"/>
      <c r="R79" s="418">
        <v>342</v>
      </c>
      <c r="S79" s="419" t="s">
        <v>320</v>
      </c>
      <c r="T79" s="423">
        <v>100</v>
      </c>
      <c r="U79" s="425">
        <v>150</v>
      </c>
    </row>
    <row r="80" spans="1:21" s="89" customFormat="1" ht="14.5" customHeight="1" x14ac:dyDescent="0.3">
      <c r="A80" s="768"/>
      <c r="B80" s="92" t="s">
        <v>155</v>
      </c>
      <c r="C80" s="114">
        <v>20</v>
      </c>
      <c r="D80" s="114">
        <v>25</v>
      </c>
      <c r="E80" s="122">
        <f>7.6*20/100</f>
        <v>1.52</v>
      </c>
      <c r="F80" s="122">
        <f>7.6*25/100</f>
        <v>1.9</v>
      </c>
      <c r="G80" s="122">
        <f>0.8*20/1000</f>
        <v>1.6E-2</v>
      </c>
      <c r="H80" s="122">
        <f>0.8*25/1000</f>
        <v>0.02</v>
      </c>
      <c r="I80" s="122">
        <f>49.2*20/100</f>
        <v>9.84</v>
      </c>
      <c r="J80" s="122">
        <f>49.2*25/100</f>
        <v>12.3</v>
      </c>
      <c r="K80" s="122">
        <f>235*20/100</f>
        <v>47</v>
      </c>
      <c r="L80" s="122">
        <f>235*25/100</f>
        <v>58.75</v>
      </c>
      <c r="M80" s="122">
        <v>0</v>
      </c>
      <c r="N80" s="122">
        <v>0</v>
      </c>
      <c r="O80" s="236" t="s">
        <v>277</v>
      </c>
      <c r="P80" s="88"/>
      <c r="Q80" s="88"/>
      <c r="R80" s="418">
        <v>372</v>
      </c>
      <c r="S80" s="419" t="s">
        <v>259</v>
      </c>
      <c r="T80" s="423">
        <v>150</v>
      </c>
      <c r="U80" s="425">
        <v>180</v>
      </c>
    </row>
    <row r="81" spans="1:21" s="89" customFormat="1" ht="14.5" customHeight="1" thickBot="1" x14ac:dyDescent="0.35">
      <c r="A81" s="769"/>
      <c r="B81" s="95" t="s">
        <v>162</v>
      </c>
      <c r="C81" s="133">
        <v>17</v>
      </c>
      <c r="D81" s="133">
        <v>21</v>
      </c>
      <c r="E81" s="239">
        <f>5.6*17/100</f>
        <v>0.95199999999999985</v>
      </c>
      <c r="F81" s="239">
        <f>5.6*21/100</f>
        <v>1.1759999999999999</v>
      </c>
      <c r="G81" s="239">
        <f>1.1*17/100</f>
        <v>0.18700000000000003</v>
      </c>
      <c r="H81" s="239">
        <f>1.1*21/100</f>
        <v>0.23100000000000001</v>
      </c>
      <c r="I81" s="239">
        <f>49.4*17/100</f>
        <v>8.3979999999999997</v>
      </c>
      <c r="J81" s="239">
        <f>49.4*17/100</f>
        <v>8.3979999999999997</v>
      </c>
      <c r="K81" s="239">
        <f>232*17/100</f>
        <v>39.44</v>
      </c>
      <c r="L81" s="239">
        <f>232*21/100</f>
        <v>48.72</v>
      </c>
      <c r="M81" s="239">
        <v>0</v>
      </c>
      <c r="N81" s="239">
        <v>0</v>
      </c>
      <c r="O81" s="240" t="s">
        <v>277</v>
      </c>
      <c r="P81" s="88"/>
      <c r="Q81" s="88"/>
      <c r="R81" s="418">
        <v>1</v>
      </c>
      <c r="S81" s="419" t="s">
        <v>155</v>
      </c>
      <c r="T81" s="420">
        <v>20</v>
      </c>
      <c r="U81" s="421">
        <v>25</v>
      </c>
    </row>
    <row r="82" spans="1:21" s="89" customFormat="1" ht="14.5" customHeight="1" x14ac:dyDescent="0.3">
      <c r="A82" s="762" t="s">
        <v>86</v>
      </c>
      <c r="B82" s="27" t="s">
        <v>276</v>
      </c>
      <c r="C82" s="20">
        <v>50</v>
      </c>
      <c r="D82" s="20">
        <v>100</v>
      </c>
      <c r="E82" s="234">
        <v>8</v>
      </c>
      <c r="F82" s="234">
        <v>16</v>
      </c>
      <c r="G82" s="234">
        <v>4.5</v>
      </c>
      <c r="H82" s="234">
        <v>4.5</v>
      </c>
      <c r="I82" s="234">
        <f>132.55*20/1000</f>
        <v>2.6509999999999998</v>
      </c>
      <c r="J82" s="234">
        <f>132.55*20/1000</f>
        <v>2.6509999999999998</v>
      </c>
      <c r="K82" s="234">
        <f>1015*20/1000</f>
        <v>20.3</v>
      </c>
      <c r="L82" s="234">
        <f>1015*20/1000</f>
        <v>20.3</v>
      </c>
      <c r="M82" s="234">
        <v>0</v>
      </c>
      <c r="N82" s="234">
        <v>0</v>
      </c>
      <c r="O82" s="235" t="s">
        <v>286</v>
      </c>
      <c r="P82" s="88"/>
      <c r="Q82" s="88"/>
      <c r="R82" s="418">
        <v>1</v>
      </c>
      <c r="S82" s="419" t="s">
        <v>162</v>
      </c>
      <c r="T82" s="423">
        <v>17</v>
      </c>
      <c r="U82" s="425">
        <v>21</v>
      </c>
    </row>
    <row r="83" spans="1:21" s="89" customFormat="1" ht="14.5" customHeight="1" thickBot="1" x14ac:dyDescent="0.35">
      <c r="A83" s="768"/>
      <c r="B83" s="92" t="s">
        <v>213</v>
      </c>
      <c r="C83" s="21">
        <v>20</v>
      </c>
      <c r="D83" s="21">
        <v>20</v>
      </c>
      <c r="E83" s="122">
        <f>19.43*20/1000</f>
        <v>0.3886</v>
      </c>
      <c r="F83" s="122">
        <f>19.43*20/1000</f>
        <v>0.3886</v>
      </c>
      <c r="G83" s="122">
        <f>45.19*20/1000</f>
        <v>0.90379999999999994</v>
      </c>
      <c r="H83" s="122">
        <v>4.5</v>
      </c>
      <c r="I83" s="122">
        <v>6</v>
      </c>
      <c r="J83" s="122">
        <v>7.2</v>
      </c>
      <c r="K83" s="122">
        <v>45</v>
      </c>
      <c r="L83" s="122">
        <v>90</v>
      </c>
      <c r="M83" s="122">
        <f>3.25*20/1000</f>
        <v>6.5000000000000002E-2</v>
      </c>
      <c r="N83" s="122">
        <f>3.25*20/1000</f>
        <v>6.5000000000000002E-2</v>
      </c>
      <c r="O83" s="236">
        <v>351</v>
      </c>
      <c r="P83" s="88"/>
      <c r="Q83" s="88"/>
      <c r="R83" s="479"/>
      <c r="S83" s="472"/>
      <c r="T83" s="480"/>
      <c r="U83" s="481"/>
    </row>
    <row r="84" spans="1:21" s="89" customFormat="1" ht="14.5" customHeight="1" x14ac:dyDescent="0.3">
      <c r="A84" s="768"/>
      <c r="B84" s="152" t="s">
        <v>50</v>
      </c>
      <c r="C84" s="148">
        <v>150</v>
      </c>
      <c r="D84" s="148">
        <v>180</v>
      </c>
      <c r="E84" s="122">
        <v>2.65</v>
      </c>
      <c r="F84" s="122">
        <v>2.67</v>
      </c>
      <c r="G84" s="122">
        <v>2.33</v>
      </c>
      <c r="H84" s="122">
        <v>2.34</v>
      </c>
      <c r="I84" s="122">
        <v>11.31</v>
      </c>
      <c r="J84" s="122">
        <v>14.31</v>
      </c>
      <c r="K84" s="122">
        <v>77</v>
      </c>
      <c r="L84" s="122">
        <v>89</v>
      </c>
      <c r="M84" s="122">
        <v>1.19</v>
      </c>
      <c r="N84" s="122">
        <v>1.2</v>
      </c>
      <c r="O84" s="236">
        <v>394</v>
      </c>
      <c r="P84" s="88"/>
      <c r="Q84" s="88"/>
      <c r="R84" s="414">
        <v>236</v>
      </c>
      <c r="S84" s="415" t="s">
        <v>334</v>
      </c>
      <c r="T84" s="416">
        <v>90</v>
      </c>
      <c r="U84" s="482">
        <v>100</v>
      </c>
    </row>
    <row r="85" spans="1:21" s="89" customFormat="1" ht="14.5" customHeight="1" thickBot="1" x14ac:dyDescent="0.35">
      <c r="A85" s="764"/>
      <c r="B85" s="95" t="s">
        <v>162</v>
      </c>
      <c r="C85" s="126">
        <v>17</v>
      </c>
      <c r="D85" s="126">
        <v>21</v>
      </c>
      <c r="E85" s="239">
        <f>5.6*17/100</f>
        <v>0.95199999999999985</v>
      </c>
      <c r="F85" s="239">
        <f>5.6*21/100</f>
        <v>1.1759999999999999</v>
      </c>
      <c r="G85" s="239">
        <f>1.1*17/100</f>
        <v>0.18700000000000003</v>
      </c>
      <c r="H85" s="239">
        <f>1.1*21/100</f>
        <v>0.23100000000000001</v>
      </c>
      <c r="I85" s="239">
        <f>49.4*17/100</f>
        <v>8.3979999999999997</v>
      </c>
      <c r="J85" s="239">
        <f>49.4*17/100</f>
        <v>8.3979999999999997</v>
      </c>
      <c r="K85" s="239">
        <f>232*17/100</f>
        <v>39.44</v>
      </c>
      <c r="L85" s="239">
        <f>232*21/100</f>
        <v>48.72</v>
      </c>
      <c r="M85" s="239">
        <v>0</v>
      </c>
      <c r="N85" s="239">
        <v>0</v>
      </c>
      <c r="O85" s="240" t="s">
        <v>277</v>
      </c>
      <c r="P85" s="88"/>
      <c r="Q85" s="88"/>
      <c r="R85" s="418">
        <v>351</v>
      </c>
      <c r="S85" s="419" t="s">
        <v>213</v>
      </c>
      <c r="T85" s="423">
        <v>30</v>
      </c>
      <c r="U85" s="424">
        <v>30</v>
      </c>
    </row>
    <row r="86" spans="1:21" s="89" customFormat="1" ht="14.5" customHeight="1" thickBot="1" x14ac:dyDescent="0.35">
      <c r="A86" s="106" t="s">
        <v>90</v>
      </c>
      <c r="B86" s="48"/>
      <c r="C86" s="229">
        <f>SUM(C71:C85)</f>
        <v>1354</v>
      </c>
      <c r="D86" s="229">
        <f>SUM(D71:D85)</f>
        <v>1657</v>
      </c>
      <c r="E86" s="266">
        <f>SUM(E71:E85)</f>
        <v>58.439353846153836</v>
      </c>
      <c r="F86" s="266">
        <f>SUM(F71:F85)</f>
        <v>77.209153846153839</v>
      </c>
      <c r="G86" s="266">
        <f t="shared" ref="G86:N86" si="3">SUM(G71:G85)</f>
        <v>65.16679615384615</v>
      </c>
      <c r="H86" s="266">
        <f t="shared" si="3"/>
        <v>79.787046153846134</v>
      </c>
      <c r="I86" s="266">
        <f t="shared" si="3"/>
        <v>141.73719230769231</v>
      </c>
      <c r="J86" s="266">
        <f t="shared" si="3"/>
        <v>184.76159230769233</v>
      </c>
      <c r="K86" s="266">
        <f t="shared" si="3"/>
        <v>1379.3042307692308</v>
      </c>
      <c r="L86" s="266">
        <f t="shared" si="3"/>
        <v>1707.5592307692309</v>
      </c>
      <c r="M86" s="266">
        <f t="shared" si="3"/>
        <v>51.411730769230772</v>
      </c>
      <c r="N86" s="266">
        <f t="shared" si="3"/>
        <v>55.811230769230768</v>
      </c>
      <c r="O86" s="242"/>
      <c r="P86" s="88"/>
      <c r="Q86" s="88"/>
      <c r="R86" s="418">
        <v>401</v>
      </c>
      <c r="S86" s="419" t="s">
        <v>156</v>
      </c>
      <c r="T86" s="423">
        <v>200</v>
      </c>
      <c r="U86" s="424">
        <v>200</v>
      </c>
    </row>
    <row r="87" spans="1:21" s="89" customFormat="1" ht="14.5" customHeight="1" thickBot="1" x14ac:dyDescent="0.4">
      <c r="A87" s="778" t="s">
        <v>177</v>
      </c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80"/>
      <c r="P87" s="88"/>
      <c r="Q87" s="88"/>
      <c r="R87" s="418">
        <v>1</v>
      </c>
      <c r="S87" s="419" t="s">
        <v>162</v>
      </c>
      <c r="T87" s="423">
        <v>17</v>
      </c>
      <c r="U87" s="424">
        <v>21</v>
      </c>
    </row>
    <row r="88" spans="1:21" s="89" customFormat="1" ht="13.5" customHeight="1" thickBot="1" x14ac:dyDescent="0.35">
      <c r="A88" s="144"/>
      <c r="B88" s="67" t="s">
        <v>74</v>
      </c>
      <c r="C88" s="766" t="s">
        <v>76</v>
      </c>
      <c r="D88" s="767"/>
      <c r="E88" s="756" t="s">
        <v>101</v>
      </c>
      <c r="F88" s="754"/>
      <c r="G88" s="754"/>
      <c r="H88" s="754"/>
      <c r="I88" s="754"/>
      <c r="J88" s="755"/>
      <c r="K88" s="739" t="s">
        <v>160</v>
      </c>
      <c r="L88" s="740"/>
      <c r="M88" s="739" t="s">
        <v>80</v>
      </c>
      <c r="N88" s="740"/>
      <c r="O88" s="746" t="s">
        <v>209</v>
      </c>
      <c r="P88" s="88"/>
      <c r="Q88" s="88"/>
      <c r="R88" s="88"/>
      <c r="S88" s="88"/>
    </row>
    <row r="89" spans="1:21" ht="14.15" customHeight="1" thickBot="1" x14ac:dyDescent="0.4">
      <c r="A89" s="110"/>
      <c r="B89" s="69" t="s">
        <v>75</v>
      </c>
      <c r="C89" s="753" t="s">
        <v>75</v>
      </c>
      <c r="D89" s="752"/>
      <c r="E89" s="753" t="s">
        <v>77</v>
      </c>
      <c r="F89" s="752"/>
      <c r="G89" s="753" t="s">
        <v>78</v>
      </c>
      <c r="H89" s="752"/>
      <c r="I89" s="753" t="s">
        <v>79</v>
      </c>
      <c r="J89" s="752"/>
      <c r="K89" s="741"/>
      <c r="L89" s="742"/>
      <c r="M89" s="741"/>
      <c r="N89" s="742"/>
      <c r="O89" s="747"/>
      <c r="P89" s="55"/>
      <c r="Q89" s="55"/>
      <c r="R89" s="55"/>
      <c r="S89" s="55"/>
      <c r="T89" s="56"/>
      <c r="U89" s="56"/>
    </row>
    <row r="90" spans="1:21" ht="14.15" customHeight="1" thickBot="1" x14ac:dyDescent="0.35">
      <c r="A90" s="267"/>
      <c r="B90" s="67"/>
      <c r="C90" s="71" t="s">
        <v>158</v>
      </c>
      <c r="D90" s="68" t="s">
        <v>159</v>
      </c>
      <c r="E90" s="74" t="s">
        <v>158</v>
      </c>
      <c r="F90" s="74" t="s">
        <v>159</v>
      </c>
      <c r="G90" s="74" t="s">
        <v>158</v>
      </c>
      <c r="H90" s="74" t="s">
        <v>159</v>
      </c>
      <c r="I90" s="74" t="s">
        <v>158</v>
      </c>
      <c r="J90" s="74" t="s">
        <v>159</v>
      </c>
      <c r="K90" s="74" t="s">
        <v>158</v>
      </c>
      <c r="L90" s="74" t="s">
        <v>159</v>
      </c>
      <c r="M90" s="74" t="s">
        <v>158</v>
      </c>
      <c r="N90" s="74" t="s">
        <v>159</v>
      </c>
      <c r="O90" s="748"/>
    </row>
    <row r="91" spans="1:21" ht="14.15" customHeight="1" x14ac:dyDescent="0.3">
      <c r="A91" s="796" t="s">
        <v>1</v>
      </c>
      <c r="B91" s="27" t="s">
        <v>289</v>
      </c>
      <c r="C91" s="20">
        <v>200</v>
      </c>
      <c r="D91" s="20">
        <v>250</v>
      </c>
      <c r="E91" s="234">
        <f>28.75*200/1000</f>
        <v>5.75</v>
      </c>
      <c r="F91" s="234">
        <f>28.75*250/1000</f>
        <v>7.1875</v>
      </c>
      <c r="G91" s="234">
        <f>26.06*200/1000</f>
        <v>5.2119999999999997</v>
      </c>
      <c r="H91" s="234">
        <f>26.06*250/1000</f>
        <v>6.5149999999999997</v>
      </c>
      <c r="I91" s="234">
        <f>94.19*200/1000</f>
        <v>18.838000000000001</v>
      </c>
      <c r="J91" s="234">
        <f>94.19*250/1000</f>
        <v>23.547499999999999</v>
      </c>
      <c r="K91" s="234">
        <f>726*200/1000</f>
        <v>145.19999999999999</v>
      </c>
      <c r="L91" s="234">
        <f>726*250/1000</f>
        <v>181.5</v>
      </c>
      <c r="M91" s="234">
        <f>4.55*200/1000</f>
        <v>0.91</v>
      </c>
      <c r="N91" s="234">
        <f>4.55*250/1000</f>
        <v>1.1375</v>
      </c>
      <c r="O91" s="235">
        <v>93</v>
      </c>
    </row>
    <row r="92" spans="1:21" ht="14.15" customHeight="1" x14ac:dyDescent="0.3">
      <c r="A92" s="777"/>
      <c r="B92" s="92" t="s">
        <v>283</v>
      </c>
      <c r="C92" s="119">
        <v>24</v>
      </c>
      <c r="D92" s="119">
        <v>30</v>
      </c>
      <c r="E92" s="122">
        <f>7.5*24/100</f>
        <v>1.8</v>
      </c>
      <c r="F92" s="122">
        <f>7.5*30/100</f>
        <v>2.25</v>
      </c>
      <c r="G92" s="122">
        <f>2.9*24/1000</f>
        <v>6.9599999999999995E-2</v>
      </c>
      <c r="H92" s="122">
        <f>2.9*30/1000</f>
        <v>8.6999999999999994E-2</v>
      </c>
      <c r="I92" s="122">
        <f>51.4*24/100</f>
        <v>12.335999999999999</v>
      </c>
      <c r="J92" s="122">
        <f>51.4*30/100</f>
        <v>15.42</v>
      </c>
      <c r="K92" s="122">
        <f>262*24/100</f>
        <v>62.88</v>
      </c>
      <c r="L92" s="122">
        <f>262*30/100</f>
        <v>78.599999999999994</v>
      </c>
      <c r="M92" s="122">
        <f>0</f>
        <v>0</v>
      </c>
      <c r="N92" s="122">
        <v>0</v>
      </c>
      <c r="O92" s="236" t="s">
        <v>287</v>
      </c>
    </row>
    <row r="93" spans="1:21" s="89" customFormat="1" ht="14.15" customHeight="1" x14ac:dyDescent="0.3">
      <c r="A93" s="777"/>
      <c r="B93" s="92" t="s">
        <v>82</v>
      </c>
      <c r="C93" s="21">
        <v>5</v>
      </c>
      <c r="D93" s="21">
        <v>10</v>
      </c>
      <c r="E93" s="122">
        <f>2.32*5/10</f>
        <v>1.1599999999999999</v>
      </c>
      <c r="F93" s="122">
        <v>2.3199999999999998</v>
      </c>
      <c r="G93" s="122">
        <f>2.95*5/10</f>
        <v>1.4750000000000001</v>
      </c>
      <c r="H93" s="122">
        <v>2.95</v>
      </c>
      <c r="I93" s="122">
        <v>0</v>
      </c>
      <c r="J93" s="122">
        <v>0</v>
      </c>
      <c r="K93" s="122">
        <f>36*5/10</f>
        <v>18</v>
      </c>
      <c r="L93" s="122">
        <v>36</v>
      </c>
      <c r="M93" s="122">
        <f>0.07*5/10</f>
        <v>3.5000000000000003E-2</v>
      </c>
      <c r="N93" s="122">
        <v>7.0000000000000007E-2</v>
      </c>
      <c r="O93" s="236">
        <v>7</v>
      </c>
      <c r="P93" s="88"/>
      <c r="Q93" s="88"/>
      <c r="R93" s="88"/>
      <c r="S93" s="88"/>
    </row>
    <row r="94" spans="1:21" s="89" customFormat="1" ht="14.15" customHeight="1" thickBot="1" x14ac:dyDescent="0.35">
      <c r="A94" s="797"/>
      <c r="B94" s="95" t="s">
        <v>258</v>
      </c>
      <c r="C94" s="126">
        <v>150</v>
      </c>
      <c r="D94" s="126">
        <v>180</v>
      </c>
      <c r="E94" s="239">
        <v>0.04</v>
      </c>
      <c r="F94" s="239">
        <v>0.06</v>
      </c>
      <c r="G94" s="239">
        <v>0.01</v>
      </c>
      <c r="H94" s="239">
        <v>0.02</v>
      </c>
      <c r="I94" s="239">
        <v>6.99</v>
      </c>
      <c r="J94" s="239">
        <v>9.99</v>
      </c>
      <c r="K94" s="239">
        <v>28</v>
      </c>
      <c r="L94" s="239">
        <v>40</v>
      </c>
      <c r="M94" s="239">
        <v>0.03</v>
      </c>
      <c r="N94" s="239">
        <v>0.03</v>
      </c>
      <c r="O94" s="240">
        <v>392</v>
      </c>
      <c r="P94" s="88"/>
      <c r="Q94" s="88"/>
      <c r="R94" s="88"/>
      <c r="S94" s="88"/>
    </row>
    <row r="95" spans="1:21" s="89" customFormat="1" ht="14.15" customHeight="1" thickBot="1" x14ac:dyDescent="0.35">
      <c r="A95" s="128" t="s">
        <v>83</v>
      </c>
      <c r="B95" s="243" t="s">
        <v>212</v>
      </c>
      <c r="C95" s="268" t="s">
        <v>205</v>
      </c>
      <c r="D95" s="260">
        <v>200</v>
      </c>
      <c r="E95" s="245">
        <f>0.45*200/150</f>
        <v>0.6</v>
      </c>
      <c r="F95" s="245">
        <f>0.45*200/150</f>
        <v>0.6</v>
      </c>
      <c r="G95" s="245">
        <f>0.15*200/150</f>
        <v>0.2</v>
      </c>
      <c r="H95" s="245">
        <f>0.15*200/150</f>
        <v>0.2</v>
      </c>
      <c r="I95" s="245">
        <f>22.8*200/150</f>
        <v>30.4</v>
      </c>
      <c r="J95" s="245">
        <f>22.8*200/150</f>
        <v>30.4</v>
      </c>
      <c r="K95" s="245">
        <f>94*200/150</f>
        <v>125.33333333333333</v>
      </c>
      <c r="L95" s="245">
        <f>94*200/150</f>
        <v>125.33333333333333</v>
      </c>
      <c r="M95" s="245">
        <f>6*200/150</f>
        <v>8</v>
      </c>
      <c r="N95" s="245">
        <f>6*200/150</f>
        <v>8</v>
      </c>
      <c r="O95" s="246">
        <v>399</v>
      </c>
      <c r="P95" s="88"/>
      <c r="Q95" s="88"/>
      <c r="R95" s="88"/>
      <c r="S95" s="88"/>
    </row>
    <row r="96" spans="1:21" s="89" customFormat="1" ht="14.15" customHeight="1" x14ac:dyDescent="0.3">
      <c r="A96" s="762" t="s">
        <v>85</v>
      </c>
      <c r="B96" s="27" t="s">
        <v>281</v>
      </c>
      <c r="C96" s="17">
        <v>45</v>
      </c>
      <c r="D96" s="17">
        <v>60</v>
      </c>
      <c r="E96" s="234">
        <f>13.65*45/1000</f>
        <v>0.61424999999999996</v>
      </c>
      <c r="F96" s="234">
        <f>13.65*60/1000</f>
        <v>0.81899999999999995</v>
      </c>
      <c r="G96" s="234">
        <f>61.79*45/1000</f>
        <v>2.7805500000000003</v>
      </c>
      <c r="H96" s="234">
        <f>61.79*60/1000</f>
        <v>3.7074000000000003</v>
      </c>
      <c r="I96" s="234">
        <f>84.4*45/1000</f>
        <v>3.7980000000000005</v>
      </c>
      <c r="J96" s="234">
        <f>84.4*60/1000</f>
        <v>5.0640000000000001</v>
      </c>
      <c r="K96" s="234">
        <f>948*45/1000</f>
        <v>42.66</v>
      </c>
      <c r="L96" s="234">
        <f>948*60/1000</f>
        <v>56.88</v>
      </c>
      <c r="M96" s="234">
        <f>102.5*45/1000</f>
        <v>4.6124999999999998</v>
      </c>
      <c r="N96" s="234">
        <f>156.6*60/1000</f>
        <v>9.3960000000000008</v>
      </c>
      <c r="O96" s="235">
        <v>45</v>
      </c>
      <c r="P96" s="88"/>
      <c r="Q96" s="88"/>
      <c r="R96" s="88"/>
      <c r="S96" s="88"/>
    </row>
    <row r="97" spans="1:21" s="89" customFormat="1" ht="14.15" customHeight="1" x14ac:dyDescent="0.3">
      <c r="A97" s="768"/>
      <c r="B97" s="92" t="s">
        <v>261</v>
      </c>
      <c r="C97" s="21">
        <v>220</v>
      </c>
      <c r="D97" s="21">
        <v>270</v>
      </c>
      <c r="E97" s="122">
        <f>6.48*200/1000</f>
        <v>1.296</v>
      </c>
      <c r="F97" s="122">
        <f>6.48*250/1000</f>
        <v>1.62</v>
      </c>
      <c r="G97" s="122">
        <f>20.25*200/1000</f>
        <v>4.05</v>
      </c>
      <c r="H97" s="122">
        <f>20.25*250/1000</f>
        <v>5.0625</v>
      </c>
      <c r="I97" s="122">
        <f>52.25*200/1000</f>
        <v>10.45</v>
      </c>
      <c r="J97" s="122">
        <f>52.25*250/1000</f>
        <v>13.0625</v>
      </c>
      <c r="K97" s="122">
        <f>417*200/1000+21.34+59.5</f>
        <v>164.24</v>
      </c>
      <c r="L97" s="122">
        <f>417*250/1000+21.34+59.5</f>
        <v>185.09</v>
      </c>
      <c r="M97" s="122">
        <f>30.15*200/1000+0.25</f>
        <v>6.28</v>
      </c>
      <c r="N97" s="122">
        <f>30.15*250/1000+0.25</f>
        <v>7.7874999999999996</v>
      </c>
      <c r="O97" s="236">
        <v>75</v>
      </c>
      <c r="P97" s="88"/>
      <c r="Q97" s="88"/>
      <c r="R97" s="88"/>
      <c r="S97" s="88"/>
    </row>
    <row r="98" spans="1:21" s="89" customFormat="1" ht="14.15" customHeight="1" x14ac:dyDescent="0.3">
      <c r="A98" s="768"/>
      <c r="B98" s="92" t="s">
        <v>322</v>
      </c>
      <c r="C98" s="21">
        <v>200</v>
      </c>
      <c r="D98" s="21">
        <v>200</v>
      </c>
      <c r="E98" s="122">
        <f>18.9*200/250</f>
        <v>15.119999999999997</v>
      </c>
      <c r="F98" s="122">
        <f>18.9*200/250</f>
        <v>15.119999999999997</v>
      </c>
      <c r="G98" s="122">
        <f>18.6*200/250</f>
        <v>14.880000000000003</v>
      </c>
      <c r="H98" s="122">
        <f>18.6*200/250</f>
        <v>14.880000000000003</v>
      </c>
      <c r="I98" s="122">
        <f>49.2*200/250</f>
        <v>39.36</v>
      </c>
      <c r="J98" s="122">
        <f>49.2*200/250</f>
        <v>39.36</v>
      </c>
      <c r="K98" s="122">
        <f>440*200/250</f>
        <v>352</v>
      </c>
      <c r="L98" s="122">
        <f>440*200/250</f>
        <v>352</v>
      </c>
      <c r="M98" s="122">
        <f>0.4*200/250</f>
        <v>0.32</v>
      </c>
      <c r="N98" s="122">
        <f>0.4*200/250</f>
        <v>0.32</v>
      </c>
      <c r="O98" s="236" t="s">
        <v>350</v>
      </c>
      <c r="P98" s="88"/>
      <c r="Q98" s="88"/>
      <c r="R98" s="88"/>
      <c r="S98" s="88"/>
    </row>
    <row r="99" spans="1:21" s="89" customFormat="1" ht="14.15" customHeight="1" x14ac:dyDescent="0.3">
      <c r="A99" s="768"/>
      <c r="B99" s="92" t="s">
        <v>269</v>
      </c>
      <c r="C99" s="119">
        <v>150</v>
      </c>
      <c r="D99" s="119">
        <v>180</v>
      </c>
      <c r="E99" s="122">
        <f>2.2*150/1000</f>
        <v>0.33</v>
      </c>
      <c r="F99" s="122">
        <f>2.2*180/1000</f>
        <v>0.39600000000000007</v>
      </c>
      <c r="G99" s="122">
        <f>0.1*150/1000</f>
        <v>1.4999999999999999E-2</v>
      </c>
      <c r="H99" s="122">
        <f>0.1*180/1000</f>
        <v>1.7999999999999999E-2</v>
      </c>
      <c r="I99" s="122">
        <f>138.84*150/1000</f>
        <v>20.826000000000001</v>
      </c>
      <c r="J99" s="122">
        <f>138.84*180/1000</f>
        <v>24.991199999999999</v>
      </c>
      <c r="K99" s="122">
        <f>565*150/1000</f>
        <v>84.75</v>
      </c>
      <c r="L99" s="122">
        <f>565*180/1000</f>
        <v>101.7</v>
      </c>
      <c r="M99" s="122">
        <f>2*150/1000</f>
        <v>0.3</v>
      </c>
      <c r="N99" s="122">
        <f>2*180/1000</f>
        <v>0.36</v>
      </c>
      <c r="O99" s="236">
        <v>376</v>
      </c>
      <c r="P99" s="88"/>
      <c r="Q99" s="88"/>
      <c r="R99" s="88"/>
      <c r="S99" s="88"/>
    </row>
    <row r="100" spans="1:21" s="89" customFormat="1" ht="14.15" customHeight="1" x14ac:dyDescent="0.3">
      <c r="A100" s="768"/>
      <c r="B100" s="92" t="s">
        <v>155</v>
      </c>
      <c r="C100" s="119">
        <v>20</v>
      </c>
      <c r="D100" s="119">
        <v>25</v>
      </c>
      <c r="E100" s="122">
        <f>7.6*20/100</f>
        <v>1.52</v>
      </c>
      <c r="F100" s="122">
        <f>7.6*25/100</f>
        <v>1.9</v>
      </c>
      <c r="G100" s="122">
        <f>0.8*20/1000</f>
        <v>1.6E-2</v>
      </c>
      <c r="H100" s="122">
        <f>0.8*25/1000</f>
        <v>0.02</v>
      </c>
      <c r="I100" s="122">
        <f>49.2*20/100</f>
        <v>9.84</v>
      </c>
      <c r="J100" s="122">
        <f>49.2*25/100</f>
        <v>12.3</v>
      </c>
      <c r="K100" s="122">
        <f>235*20/100</f>
        <v>47</v>
      </c>
      <c r="L100" s="122">
        <f>235*25/100</f>
        <v>58.75</v>
      </c>
      <c r="M100" s="122">
        <v>0</v>
      </c>
      <c r="N100" s="122">
        <v>0</v>
      </c>
      <c r="O100" s="236" t="s">
        <v>277</v>
      </c>
      <c r="P100" s="88"/>
      <c r="Q100" s="88"/>
      <c r="R100" s="88"/>
      <c r="S100" s="88"/>
    </row>
    <row r="101" spans="1:21" s="89" customFormat="1" ht="14.15" customHeight="1" thickBot="1" x14ac:dyDescent="0.35">
      <c r="A101" s="768"/>
      <c r="B101" s="95" t="s">
        <v>162</v>
      </c>
      <c r="C101" s="126">
        <v>17</v>
      </c>
      <c r="D101" s="126">
        <v>21</v>
      </c>
      <c r="E101" s="239">
        <f>5.6*17/100</f>
        <v>0.95199999999999985</v>
      </c>
      <c r="F101" s="239">
        <f>5.6*21/100</f>
        <v>1.1759999999999999</v>
      </c>
      <c r="G101" s="239">
        <f>1.1*17/100</f>
        <v>0.18700000000000003</v>
      </c>
      <c r="H101" s="239">
        <f>1.1*21/100</f>
        <v>0.23100000000000001</v>
      </c>
      <c r="I101" s="239">
        <f>49.4*17/100</f>
        <v>8.3979999999999997</v>
      </c>
      <c r="J101" s="239">
        <f>49.4*17/100</f>
        <v>8.3979999999999997</v>
      </c>
      <c r="K101" s="239">
        <f>232*17/100</f>
        <v>39.44</v>
      </c>
      <c r="L101" s="239">
        <f>232*21/100</f>
        <v>48.72</v>
      </c>
      <c r="M101" s="239">
        <v>0</v>
      </c>
      <c r="N101" s="239">
        <v>0</v>
      </c>
      <c r="O101" s="240" t="s">
        <v>277</v>
      </c>
      <c r="P101" s="88"/>
      <c r="Q101" s="88"/>
      <c r="R101" s="88"/>
      <c r="S101" s="88"/>
    </row>
    <row r="102" spans="1:21" s="89" customFormat="1" ht="14.15" customHeight="1" x14ac:dyDescent="0.3">
      <c r="A102" s="789" t="s">
        <v>86</v>
      </c>
      <c r="B102" s="27" t="s">
        <v>323</v>
      </c>
      <c r="C102" s="20">
        <v>60</v>
      </c>
      <c r="D102" s="20">
        <v>80</v>
      </c>
      <c r="E102" s="234">
        <v>4.6100000000000003</v>
      </c>
      <c r="F102" s="234">
        <v>6.17</v>
      </c>
      <c r="G102" s="234">
        <v>3.28</v>
      </c>
      <c r="H102" s="234">
        <v>4.63</v>
      </c>
      <c r="I102" s="234">
        <v>5.87</v>
      </c>
      <c r="J102" s="234">
        <v>7.87</v>
      </c>
      <c r="K102" s="234">
        <v>71</v>
      </c>
      <c r="L102" s="234">
        <v>98</v>
      </c>
      <c r="M102" s="234">
        <v>1.72</v>
      </c>
      <c r="N102" s="234">
        <v>2.2400000000000002</v>
      </c>
      <c r="O102" s="235">
        <v>250</v>
      </c>
      <c r="P102" s="88"/>
      <c r="Q102" s="88"/>
      <c r="R102" s="88"/>
      <c r="S102" s="88"/>
    </row>
    <row r="103" spans="1:21" s="89" customFormat="1" ht="14.15" customHeight="1" x14ac:dyDescent="0.3">
      <c r="A103" s="790"/>
      <c r="B103" s="92" t="s">
        <v>162</v>
      </c>
      <c r="C103" s="21">
        <v>17</v>
      </c>
      <c r="D103" s="21">
        <v>21</v>
      </c>
      <c r="E103" s="122">
        <f>5.6*17/100</f>
        <v>0.95199999999999985</v>
      </c>
      <c r="F103" s="122">
        <f>5.6*21/100</f>
        <v>1.1759999999999999</v>
      </c>
      <c r="G103" s="122">
        <f>1.1*17/100</f>
        <v>0.18700000000000003</v>
      </c>
      <c r="H103" s="122">
        <f>1.1*21/100</f>
        <v>0.23100000000000001</v>
      </c>
      <c r="I103" s="122">
        <f>49.4*17/100</f>
        <v>8.3979999999999997</v>
      </c>
      <c r="J103" s="122">
        <f>49.4*17/100</f>
        <v>8.3979999999999997</v>
      </c>
      <c r="K103" s="122">
        <f>232*17/100</f>
        <v>39.44</v>
      </c>
      <c r="L103" s="122">
        <f>232*21/100</f>
        <v>48.72</v>
      </c>
      <c r="M103" s="122">
        <v>0</v>
      </c>
      <c r="N103" s="122">
        <v>0</v>
      </c>
      <c r="O103" s="236" t="s">
        <v>277</v>
      </c>
      <c r="P103" s="88"/>
      <c r="Q103" s="88"/>
      <c r="R103" s="88"/>
      <c r="S103" s="88"/>
    </row>
    <row r="104" spans="1:21" s="88" customFormat="1" ht="14.15" customHeight="1" x14ac:dyDescent="0.3">
      <c r="A104" s="790"/>
      <c r="B104" s="92" t="s">
        <v>147</v>
      </c>
      <c r="C104" s="21">
        <v>150</v>
      </c>
      <c r="D104" s="21">
        <v>180</v>
      </c>
      <c r="E104" s="122">
        <v>0.51</v>
      </c>
      <c r="F104" s="122">
        <v>0.61</v>
      </c>
      <c r="G104" s="122">
        <v>0.21</v>
      </c>
      <c r="H104" s="122">
        <v>0.25</v>
      </c>
      <c r="I104" s="122">
        <v>14.23</v>
      </c>
      <c r="J104" s="122">
        <v>18.670000000000002</v>
      </c>
      <c r="K104" s="122">
        <v>61</v>
      </c>
      <c r="L104" s="122">
        <v>79</v>
      </c>
      <c r="M104" s="122">
        <v>75</v>
      </c>
      <c r="N104" s="122">
        <v>90</v>
      </c>
      <c r="O104" s="236">
        <v>398</v>
      </c>
    </row>
    <row r="105" spans="1:21" s="88" customFormat="1" ht="14.15" customHeight="1" thickBot="1" x14ac:dyDescent="0.35">
      <c r="A105" s="791"/>
      <c r="B105" s="95" t="s">
        <v>168</v>
      </c>
      <c r="C105" s="126">
        <v>20</v>
      </c>
      <c r="D105" s="126">
        <v>50</v>
      </c>
      <c r="E105" s="239">
        <f>2.8*20/100</f>
        <v>0.56000000000000005</v>
      </c>
      <c r="F105" s="239">
        <f>2.8*50/100</f>
        <v>1.4</v>
      </c>
      <c r="G105" s="239">
        <f>3.3*20/1000</f>
        <v>6.6000000000000003E-2</v>
      </c>
      <c r="H105" s="239">
        <f>3.3*50/1000</f>
        <v>0.16500000000000001</v>
      </c>
      <c r="I105" s="239">
        <f>44.3*20/1000</f>
        <v>0.88600000000000001</v>
      </c>
      <c r="J105" s="239">
        <f>44.3*50/1000</f>
        <v>2.2149999999999999</v>
      </c>
      <c r="K105" s="239">
        <f>350*20/1000</f>
        <v>7</v>
      </c>
      <c r="L105" s="239">
        <f>350*50/1000</f>
        <v>17.5</v>
      </c>
      <c r="M105" s="239">
        <v>0</v>
      </c>
      <c r="N105" s="239">
        <v>0</v>
      </c>
      <c r="O105" s="240">
        <v>368</v>
      </c>
    </row>
    <row r="106" spans="1:21" s="88" customFormat="1" ht="14.15" customHeight="1" thickBot="1" x14ac:dyDescent="0.35">
      <c r="A106" s="106" t="s">
        <v>90</v>
      </c>
      <c r="B106" s="48"/>
      <c r="C106" s="229">
        <f>SUM(C91:C105)</f>
        <v>1278</v>
      </c>
      <c r="D106" s="229">
        <f>SUM(D91:D105)</f>
        <v>1757</v>
      </c>
      <c r="E106" s="266">
        <f>SUM(E91:E105)</f>
        <v>35.814249999999994</v>
      </c>
      <c r="F106" s="266">
        <f t="shared" ref="F106:N106" si="4">SUM(F91:F105)</f>
        <v>42.804500000000004</v>
      </c>
      <c r="G106" s="266">
        <f t="shared" si="4"/>
        <v>32.638150000000003</v>
      </c>
      <c r="H106" s="266">
        <f t="shared" si="4"/>
        <v>38.96690000000001</v>
      </c>
      <c r="I106" s="266">
        <f t="shared" si="4"/>
        <v>190.61999999999998</v>
      </c>
      <c r="J106" s="266">
        <f t="shared" si="4"/>
        <v>219.68620000000001</v>
      </c>
      <c r="K106" s="266">
        <f t="shared" si="4"/>
        <v>1287.9433333333334</v>
      </c>
      <c r="L106" s="266">
        <f t="shared" si="4"/>
        <v>1507.7933333333335</v>
      </c>
      <c r="M106" s="266">
        <f t="shared" si="4"/>
        <v>97.207499999999996</v>
      </c>
      <c r="N106" s="266">
        <f t="shared" si="4"/>
        <v>119.34100000000001</v>
      </c>
      <c r="O106" s="242"/>
    </row>
    <row r="107" spans="1:21" s="88" customFormat="1" ht="14.15" customHeight="1" thickBot="1" x14ac:dyDescent="0.4">
      <c r="A107" s="778" t="s">
        <v>178</v>
      </c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80"/>
    </row>
    <row r="108" spans="1:21" s="89" customFormat="1" ht="14.15" customHeight="1" thickBot="1" x14ac:dyDescent="0.35">
      <c r="A108" s="743" t="s">
        <v>161</v>
      </c>
      <c r="B108" s="67" t="s">
        <v>74</v>
      </c>
      <c r="C108" s="781" t="s">
        <v>76</v>
      </c>
      <c r="D108" s="767"/>
      <c r="E108" s="756" t="s">
        <v>101</v>
      </c>
      <c r="F108" s="754"/>
      <c r="G108" s="754"/>
      <c r="H108" s="754"/>
      <c r="I108" s="754"/>
      <c r="J108" s="755"/>
      <c r="K108" s="739" t="s">
        <v>160</v>
      </c>
      <c r="L108" s="740"/>
      <c r="M108" s="739" t="s">
        <v>80</v>
      </c>
      <c r="N108" s="740"/>
      <c r="O108" s="746" t="s">
        <v>209</v>
      </c>
      <c r="P108" s="88"/>
      <c r="Q108" s="88"/>
      <c r="R108" s="88"/>
      <c r="S108" s="88"/>
    </row>
    <row r="109" spans="1:21" ht="14.15" customHeight="1" thickBot="1" x14ac:dyDescent="0.35">
      <c r="A109" s="744"/>
      <c r="B109" s="69" t="s">
        <v>75</v>
      </c>
      <c r="C109" s="751" t="s">
        <v>75</v>
      </c>
      <c r="D109" s="752"/>
      <c r="E109" s="753" t="s">
        <v>77</v>
      </c>
      <c r="F109" s="752"/>
      <c r="G109" s="753" t="s">
        <v>78</v>
      </c>
      <c r="H109" s="752"/>
      <c r="I109" s="753" t="s">
        <v>79</v>
      </c>
      <c r="J109" s="752"/>
      <c r="K109" s="741"/>
      <c r="L109" s="742"/>
      <c r="M109" s="741"/>
      <c r="N109" s="742"/>
      <c r="O109" s="747"/>
      <c r="P109" s="55"/>
      <c r="Q109" s="55"/>
      <c r="R109" s="55"/>
      <c r="S109" s="55"/>
      <c r="T109" s="56"/>
      <c r="U109" s="56"/>
    </row>
    <row r="110" spans="1:21" ht="14.15" customHeight="1" thickBot="1" x14ac:dyDescent="0.35">
      <c r="A110" s="744"/>
      <c r="B110" s="72"/>
      <c r="C110" s="71" t="s">
        <v>158</v>
      </c>
      <c r="D110" s="71" t="s">
        <v>159</v>
      </c>
      <c r="E110" s="74" t="s">
        <v>158</v>
      </c>
      <c r="F110" s="75" t="s">
        <v>159</v>
      </c>
      <c r="G110" s="74" t="s">
        <v>158</v>
      </c>
      <c r="H110" s="74" t="s">
        <v>159</v>
      </c>
      <c r="I110" s="74" t="s">
        <v>158</v>
      </c>
      <c r="J110" s="74" t="s">
        <v>159</v>
      </c>
      <c r="K110" s="74" t="s">
        <v>158</v>
      </c>
      <c r="L110" s="74" t="s">
        <v>159</v>
      </c>
      <c r="M110" s="74" t="s">
        <v>158</v>
      </c>
      <c r="N110" s="74" t="s">
        <v>159</v>
      </c>
      <c r="O110" s="748"/>
    </row>
    <row r="111" spans="1:21" ht="14.15" customHeight="1" x14ac:dyDescent="0.3">
      <c r="A111" s="762" t="s">
        <v>81</v>
      </c>
      <c r="B111" s="27" t="s">
        <v>325</v>
      </c>
      <c r="C111" s="20">
        <v>150</v>
      </c>
      <c r="D111" s="20">
        <v>200</v>
      </c>
      <c r="E111" s="270">
        <v>4.5999999999999996</v>
      </c>
      <c r="F111" s="234">
        <v>6.21</v>
      </c>
      <c r="G111" s="234">
        <v>4.8600000000000003</v>
      </c>
      <c r="H111" s="234">
        <v>5.28</v>
      </c>
      <c r="I111" s="234">
        <v>25.83</v>
      </c>
      <c r="J111" s="234">
        <v>32.79</v>
      </c>
      <c r="K111" s="234">
        <v>166</v>
      </c>
      <c r="L111" s="234">
        <v>203</v>
      </c>
      <c r="M111" s="234">
        <v>0</v>
      </c>
      <c r="N111" s="234">
        <v>0</v>
      </c>
      <c r="O111" s="271">
        <v>168</v>
      </c>
    </row>
    <row r="112" spans="1:21" ht="14.15" customHeight="1" x14ac:dyDescent="0.3">
      <c r="A112" s="763"/>
      <c r="B112" s="92" t="s">
        <v>216</v>
      </c>
      <c r="C112" s="127" t="s">
        <v>302</v>
      </c>
      <c r="D112" s="127" t="s">
        <v>303</v>
      </c>
      <c r="E112" s="269">
        <v>4.16</v>
      </c>
      <c r="F112" s="122">
        <v>4.6100000000000003</v>
      </c>
      <c r="G112" s="122">
        <v>6.64</v>
      </c>
      <c r="H112" s="122">
        <v>6.66</v>
      </c>
      <c r="I112" s="122">
        <v>12.4</v>
      </c>
      <c r="J112" s="122">
        <v>15.49</v>
      </c>
      <c r="K112" s="122">
        <v>131.88</v>
      </c>
      <c r="L112" s="122">
        <v>147.6</v>
      </c>
      <c r="M112" s="122">
        <v>7.0000000000000007E-2</v>
      </c>
      <c r="N112" s="122">
        <v>7.0000000000000007E-2</v>
      </c>
      <c r="O112" s="258">
        <v>3</v>
      </c>
    </row>
    <row r="113" spans="1:19" s="89" customFormat="1" ht="14.15" customHeight="1" thickBot="1" x14ac:dyDescent="0.35">
      <c r="A113" s="764"/>
      <c r="B113" s="95" t="s">
        <v>53</v>
      </c>
      <c r="C113" s="126">
        <v>150</v>
      </c>
      <c r="D113" s="126">
        <v>180</v>
      </c>
      <c r="E113" s="272">
        <v>3.15</v>
      </c>
      <c r="F113" s="239">
        <v>3.67</v>
      </c>
      <c r="G113" s="239">
        <v>2.72</v>
      </c>
      <c r="H113" s="239">
        <v>3.19</v>
      </c>
      <c r="I113" s="239">
        <v>12.96</v>
      </c>
      <c r="J113" s="239">
        <v>15.82</v>
      </c>
      <c r="K113" s="239">
        <v>89</v>
      </c>
      <c r="L113" s="239">
        <v>107</v>
      </c>
      <c r="M113" s="239">
        <v>1.2</v>
      </c>
      <c r="N113" s="239">
        <v>1.43</v>
      </c>
      <c r="O113" s="240">
        <v>397</v>
      </c>
      <c r="P113" s="88"/>
      <c r="Q113" s="88"/>
      <c r="R113" s="88"/>
      <c r="S113" s="88"/>
    </row>
    <row r="114" spans="1:19" s="89" customFormat="1" ht="14.15" customHeight="1" thickBot="1" x14ac:dyDescent="0.35">
      <c r="A114" s="128" t="s">
        <v>83</v>
      </c>
      <c r="B114" s="243" t="s">
        <v>115</v>
      </c>
      <c r="C114" s="260">
        <v>100</v>
      </c>
      <c r="D114" s="260">
        <v>100</v>
      </c>
      <c r="E114" s="273">
        <v>0.4</v>
      </c>
      <c r="F114" s="245">
        <v>0.4</v>
      </c>
      <c r="G114" s="245">
        <v>0.4</v>
      </c>
      <c r="H114" s="245">
        <v>0.4</v>
      </c>
      <c r="I114" s="245">
        <v>9.8000000000000007</v>
      </c>
      <c r="J114" s="245">
        <v>9.8000000000000007</v>
      </c>
      <c r="K114" s="261">
        <v>44</v>
      </c>
      <c r="L114" s="261">
        <v>44</v>
      </c>
      <c r="M114" s="245">
        <v>10</v>
      </c>
      <c r="N114" s="245">
        <v>10</v>
      </c>
      <c r="O114" s="246">
        <v>368</v>
      </c>
      <c r="P114" s="88"/>
      <c r="Q114" s="88"/>
      <c r="R114" s="88"/>
      <c r="S114" s="88"/>
    </row>
    <row r="115" spans="1:19" s="89" customFormat="1" ht="14.15" customHeight="1" x14ac:dyDescent="0.3">
      <c r="A115" s="762" t="s">
        <v>85</v>
      </c>
      <c r="B115" s="27" t="s">
        <v>257</v>
      </c>
      <c r="C115" s="17">
        <v>45</v>
      </c>
      <c r="D115" s="17">
        <v>60</v>
      </c>
      <c r="E115" s="270">
        <f>9.06*45/1000</f>
        <v>0.40770000000000006</v>
      </c>
      <c r="F115" s="234">
        <f>9.06*60/1000</f>
        <v>0.54359999999999997</v>
      </c>
      <c r="G115" s="234">
        <f>47.02*45/1000</f>
        <v>2.1158999999999999</v>
      </c>
      <c r="H115" s="234">
        <f>47.02*60/1000</f>
        <v>2.8212000000000002</v>
      </c>
      <c r="I115" s="234">
        <f>59.24*45/1000</f>
        <v>2.6658000000000004</v>
      </c>
      <c r="J115" s="234">
        <f>59.24*60/1000</f>
        <v>3.5544000000000002</v>
      </c>
      <c r="K115" s="234">
        <f>696*45/1000</f>
        <v>31.32</v>
      </c>
      <c r="L115" s="234">
        <f>696*60/1000</f>
        <v>41.76</v>
      </c>
      <c r="M115" s="234">
        <f>55.23*45/1000</f>
        <v>2.4853499999999999</v>
      </c>
      <c r="N115" s="234">
        <f>55.23*60/1000</f>
        <v>3.3137999999999996</v>
      </c>
      <c r="O115" s="271">
        <v>53</v>
      </c>
      <c r="P115" s="88"/>
      <c r="Q115" s="88"/>
      <c r="R115" s="88"/>
      <c r="S115" s="88"/>
    </row>
    <row r="116" spans="1:19" s="89" customFormat="1" ht="14.15" customHeight="1" x14ac:dyDescent="0.3">
      <c r="A116" s="763"/>
      <c r="B116" s="92" t="s">
        <v>130</v>
      </c>
      <c r="C116" s="18">
        <v>220</v>
      </c>
      <c r="D116" s="18">
        <v>225</v>
      </c>
      <c r="E116" s="269">
        <f>34.39*220/1000</f>
        <v>7.5658000000000003</v>
      </c>
      <c r="F116" s="122">
        <f>34.39*225/1000</f>
        <v>7.7377500000000001</v>
      </c>
      <c r="G116" s="122">
        <f>33.62*220/1000</f>
        <v>7.3963999999999999</v>
      </c>
      <c r="H116" s="122">
        <f>33.62*225/1000</f>
        <v>7.5644999999999989</v>
      </c>
      <c r="I116" s="122">
        <f>57.33*220/1000</f>
        <v>12.6126</v>
      </c>
      <c r="J116" s="122">
        <f>57.33*225/1000</f>
        <v>12.89925</v>
      </c>
      <c r="K116" s="122">
        <f>669*220/1000</f>
        <v>147.18</v>
      </c>
      <c r="L116" s="122">
        <f>669*225/1000</f>
        <v>150.52500000000001</v>
      </c>
      <c r="M116" s="122">
        <f>23.45*220/1000</f>
        <v>5.1589999999999998</v>
      </c>
      <c r="N116" s="122">
        <f>36.45*225/1000</f>
        <v>8.2012499999999999</v>
      </c>
      <c r="O116" s="247">
        <v>87</v>
      </c>
      <c r="P116" s="88"/>
      <c r="Q116" s="88"/>
      <c r="R116" s="88"/>
      <c r="S116" s="88"/>
    </row>
    <row r="117" spans="1:19" s="89" customFormat="1" ht="14.15" customHeight="1" x14ac:dyDescent="0.3">
      <c r="A117" s="763"/>
      <c r="B117" s="92" t="s">
        <v>326</v>
      </c>
      <c r="C117" s="18">
        <v>120</v>
      </c>
      <c r="D117" s="18">
        <v>160</v>
      </c>
      <c r="E117" s="269">
        <v>8.14</v>
      </c>
      <c r="F117" s="122">
        <v>10.91</v>
      </c>
      <c r="G117" s="122">
        <v>9.0399999999999991</v>
      </c>
      <c r="H117" s="122">
        <v>12.53</v>
      </c>
      <c r="I117" s="122">
        <v>10.3</v>
      </c>
      <c r="J117" s="122">
        <v>13.79</v>
      </c>
      <c r="K117" s="122">
        <v>155</v>
      </c>
      <c r="L117" s="122">
        <v>212</v>
      </c>
      <c r="M117" s="122">
        <v>0.45</v>
      </c>
      <c r="N117" s="122">
        <v>0.61</v>
      </c>
      <c r="O117" s="247">
        <v>287</v>
      </c>
      <c r="P117" s="88"/>
      <c r="Q117" s="88"/>
      <c r="R117" s="88"/>
      <c r="S117" s="88"/>
    </row>
    <row r="118" spans="1:19" s="89" customFormat="1" ht="14.15" customHeight="1" x14ac:dyDescent="0.3">
      <c r="A118" s="763"/>
      <c r="B118" s="92" t="s">
        <v>260</v>
      </c>
      <c r="C118" s="18">
        <v>155</v>
      </c>
      <c r="D118" s="18">
        <v>155</v>
      </c>
      <c r="E118" s="269">
        <v>5.68</v>
      </c>
      <c r="F118" s="122">
        <v>5.68</v>
      </c>
      <c r="G118" s="122">
        <v>4.3600000000000003</v>
      </c>
      <c r="H118" s="122">
        <v>4.3600000000000003</v>
      </c>
      <c r="I118" s="122">
        <v>27.25</v>
      </c>
      <c r="J118" s="122">
        <v>27.25</v>
      </c>
      <c r="K118" s="122">
        <v>171</v>
      </c>
      <c r="L118" s="122">
        <v>171</v>
      </c>
      <c r="M118" s="122">
        <v>0</v>
      </c>
      <c r="N118" s="122">
        <v>0</v>
      </c>
      <c r="O118" s="247">
        <v>205</v>
      </c>
      <c r="P118" s="88"/>
      <c r="Q118" s="88"/>
      <c r="R118" s="88"/>
      <c r="S118" s="88"/>
    </row>
    <row r="119" spans="1:19" s="89" customFormat="1" ht="14.15" customHeight="1" x14ac:dyDescent="0.3">
      <c r="A119" s="763"/>
      <c r="B119" s="92" t="s">
        <v>280</v>
      </c>
      <c r="C119" s="18">
        <v>150</v>
      </c>
      <c r="D119" s="18">
        <v>180</v>
      </c>
      <c r="E119" s="269">
        <f>2.2*150/1000</f>
        <v>0.33</v>
      </c>
      <c r="F119" s="122">
        <f>2.2*180/1000</f>
        <v>0.39600000000000007</v>
      </c>
      <c r="G119" s="122">
        <f>0.1*150/1000</f>
        <v>1.4999999999999999E-2</v>
      </c>
      <c r="H119" s="122">
        <f>0.1*180/1000</f>
        <v>1.7999999999999999E-2</v>
      </c>
      <c r="I119" s="122">
        <f>138.84*150/1000</f>
        <v>20.826000000000001</v>
      </c>
      <c r="J119" s="122">
        <f>138.84*180/1000</f>
        <v>24.991199999999999</v>
      </c>
      <c r="K119" s="122">
        <f>565*150/1000</f>
        <v>84.75</v>
      </c>
      <c r="L119" s="122">
        <f>565*180/1000</f>
        <v>101.7</v>
      </c>
      <c r="M119" s="122">
        <f>2*150/1000</f>
        <v>0.3</v>
      </c>
      <c r="N119" s="122">
        <f>2*180/1000</f>
        <v>0.36</v>
      </c>
      <c r="O119" s="247">
        <v>376</v>
      </c>
      <c r="P119" s="88"/>
      <c r="Q119" s="88"/>
      <c r="R119" s="88"/>
      <c r="S119" s="88"/>
    </row>
    <row r="120" spans="1:19" s="89" customFormat="1" ht="14.15" customHeight="1" x14ac:dyDescent="0.3">
      <c r="A120" s="763"/>
      <c r="B120" s="92" t="s">
        <v>155</v>
      </c>
      <c r="C120" s="119">
        <v>20</v>
      </c>
      <c r="D120" s="119">
        <v>25</v>
      </c>
      <c r="E120" s="269">
        <f>7.6*20/100</f>
        <v>1.52</v>
      </c>
      <c r="F120" s="122">
        <f>7.6*25/100</f>
        <v>1.9</v>
      </c>
      <c r="G120" s="122">
        <f>0.8*20/1000</f>
        <v>1.6E-2</v>
      </c>
      <c r="H120" s="122">
        <f>0.8*25/1000</f>
        <v>0.02</v>
      </c>
      <c r="I120" s="122">
        <f>49.2*20/100</f>
        <v>9.84</v>
      </c>
      <c r="J120" s="122">
        <f>49.2*25/100</f>
        <v>12.3</v>
      </c>
      <c r="K120" s="122">
        <f>235*20/100</f>
        <v>47</v>
      </c>
      <c r="L120" s="122">
        <f>235*25/100</f>
        <v>58.75</v>
      </c>
      <c r="M120" s="122">
        <v>0</v>
      </c>
      <c r="N120" s="122">
        <v>0</v>
      </c>
      <c r="O120" s="236" t="s">
        <v>277</v>
      </c>
      <c r="P120" s="88"/>
      <c r="Q120" s="88"/>
      <c r="R120" s="88"/>
      <c r="S120" s="88"/>
    </row>
    <row r="121" spans="1:19" s="89" customFormat="1" ht="14.15" customHeight="1" thickBot="1" x14ac:dyDescent="0.35">
      <c r="A121" s="764"/>
      <c r="B121" s="95" t="s">
        <v>162</v>
      </c>
      <c r="C121" s="126">
        <v>17</v>
      </c>
      <c r="D121" s="126">
        <v>21</v>
      </c>
      <c r="E121" s="272">
        <f>5.6*17/100</f>
        <v>0.95199999999999985</v>
      </c>
      <c r="F121" s="239">
        <f>5.6*21/100</f>
        <v>1.1759999999999999</v>
      </c>
      <c r="G121" s="239">
        <f>1.1*17/100</f>
        <v>0.18700000000000003</v>
      </c>
      <c r="H121" s="239">
        <f>1.1*21/100</f>
        <v>0.23100000000000001</v>
      </c>
      <c r="I121" s="239">
        <f>49.4*17/100</f>
        <v>8.3979999999999997</v>
      </c>
      <c r="J121" s="239">
        <f>49.4*17/100</f>
        <v>8.3979999999999997</v>
      </c>
      <c r="K121" s="239">
        <f>232*17/100</f>
        <v>39.44</v>
      </c>
      <c r="L121" s="239">
        <f>232*21/100</f>
        <v>48.72</v>
      </c>
      <c r="M121" s="239">
        <v>0</v>
      </c>
      <c r="N121" s="239">
        <v>0</v>
      </c>
      <c r="O121" s="240" t="s">
        <v>277</v>
      </c>
      <c r="P121" s="88"/>
      <c r="Q121" s="88"/>
      <c r="R121" s="88"/>
      <c r="S121" s="88"/>
    </row>
    <row r="122" spans="1:19" s="89" customFormat="1" ht="14.15" customHeight="1" x14ac:dyDescent="0.3">
      <c r="A122" s="771" t="s">
        <v>86</v>
      </c>
      <c r="B122" s="27" t="s">
        <v>333</v>
      </c>
      <c r="C122" s="17">
        <v>60</v>
      </c>
      <c r="D122" s="17">
        <v>80</v>
      </c>
      <c r="E122" s="270">
        <v>11.66</v>
      </c>
      <c r="F122" s="234">
        <v>15.64</v>
      </c>
      <c r="G122" s="234">
        <v>2.75</v>
      </c>
      <c r="H122" s="234">
        <v>3.89</v>
      </c>
      <c r="I122" s="234">
        <v>9.98</v>
      </c>
      <c r="J122" s="234">
        <v>13.46</v>
      </c>
      <c r="K122" s="234">
        <v>111</v>
      </c>
      <c r="L122" s="234">
        <v>151</v>
      </c>
      <c r="M122" s="234">
        <v>0.1</v>
      </c>
      <c r="N122" s="234">
        <v>0.14000000000000001</v>
      </c>
      <c r="O122" s="271">
        <v>305</v>
      </c>
      <c r="P122" s="88"/>
      <c r="Q122" s="88"/>
      <c r="R122" s="88"/>
      <c r="S122" s="88"/>
    </row>
    <row r="123" spans="1:19" s="89" customFormat="1" ht="14.15" customHeight="1" x14ac:dyDescent="0.3">
      <c r="A123" s="734"/>
      <c r="B123" s="92" t="s">
        <v>320</v>
      </c>
      <c r="C123" s="21">
        <v>150</v>
      </c>
      <c r="D123" s="21">
        <v>180</v>
      </c>
      <c r="E123" s="269">
        <v>2.9</v>
      </c>
      <c r="F123" s="122">
        <f>2.9*180/150</f>
        <v>3.48</v>
      </c>
      <c r="G123" s="122">
        <f>7.4*150/150</f>
        <v>7.4</v>
      </c>
      <c r="H123" s="122">
        <f>7.4*180/150</f>
        <v>8.8800000000000008</v>
      </c>
      <c r="I123" s="122">
        <f>15.4*150/150</f>
        <v>15.4</v>
      </c>
      <c r="J123" s="122">
        <f>15.4*180/150</f>
        <v>18.48</v>
      </c>
      <c r="K123" s="122">
        <v>139.9</v>
      </c>
      <c r="L123" s="122">
        <f>139.9*180/150</f>
        <v>167.88</v>
      </c>
      <c r="M123" s="122">
        <f>32*150/150</f>
        <v>32</v>
      </c>
      <c r="N123" s="122">
        <f>32*150/150</f>
        <v>32</v>
      </c>
      <c r="O123" s="247" t="s">
        <v>321</v>
      </c>
      <c r="P123" s="88"/>
      <c r="Q123" s="88"/>
      <c r="R123" s="88"/>
      <c r="S123" s="88"/>
    </row>
    <row r="124" spans="1:19" s="89" customFormat="1" ht="14.15" customHeight="1" x14ac:dyDescent="0.3">
      <c r="A124" s="734"/>
      <c r="B124" s="92" t="s">
        <v>186</v>
      </c>
      <c r="C124" s="21">
        <v>157</v>
      </c>
      <c r="D124" s="21">
        <v>190</v>
      </c>
      <c r="E124" s="274">
        <v>0.04</v>
      </c>
      <c r="F124" s="274">
        <v>0.06</v>
      </c>
      <c r="G124" s="274">
        <v>0.01</v>
      </c>
      <c r="H124" s="274">
        <v>0.02</v>
      </c>
      <c r="I124" s="274">
        <v>6.99</v>
      </c>
      <c r="J124" s="274">
        <v>9.99</v>
      </c>
      <c r="K124" s="274">
        <v>28</v>
      </c>
      <c r="L124" s="274">
        <v>40</v>
      </c>
      <c r="M124" s="274">
        <v>0.02</v>
      </c>
      <c r="N124" s="274">
        <v>0.03</v>
      </c>
      <c r="O124" s="247">
        <v>392</v>
      </c>
      <c r="P124" s="88"/>
      <c r="Q124" s="88"/>
      <c r="R124" s="88"/>
      <c r="S124" s="88"/>
    </row>
    <row r="125" spans="1:19" s="89" customFormat="1" ht="14.15" customHeight="1" thickBot="1" x14ac:dyDescent="0.35">
      <c r="A125" s="795"/>
      <c r="B125" s="95" t="s">
        <v>162</v>
      </c>
      <c r="C125" s="126">
        <v>17</v>
      </c>
      <c r="D125" s="126">
        <v>21</v>
      </c>
      <c r="E125" s="272">
        <f>5.6*17/100</f>
        <v>0.95199999999999985</v>
      </c>
      <c r="F125" s="239">
        <f>5.6*21/100</f>
        <v>1.1759999999999999</v>
      </c>
      <c r="G125" s="239">
        <f>1.1*17/100</f>
        <v>0.18700000000000003</v>
      </c>
      <c r="H125" s="239">
        <f>1.1*21/100</f>
        <v>0.23100000000000001</v>
      </c>
      <c r="I125" s="239">
        <f>49.4*17/100</f>
        <v>8.3979999999999997</v>
      </c>
      <c r="J125" s="239">
        <f>49.4*17/100</f>
        <v>8.3979999999999997</v>
      </c>
      <c r="K125" s="239">
        <f>232*17/100</f>
        <v>39.44</v>
      </c>
      <c r="L125" s="239">
        <f>232*21/100</f>
        <v>48.72</v>
      </c>
      <c r="M125" s="239">
        <v>0</v>
      </c>
      <c r="N125" s="239">
        <v>0</v>
      </c>
      <c r="O125" s="240" t="s">
        <v>277</v>
      </c>
      <c r="P125" s="88"/>
      <c r="Q125" s="88"/>
      <c r="R125" s="88"/>
      <c r="S125" s="88"/>
    </row>
    <row r="126" spans="1:19" s="89" customFormat="1" ht="14.15" customHeight="1" thickBot="1" x14ac:dyDescent="0.4">
      <c r="A126" s="106" t="s">
        <v>90</v>
      </c>
      <c r="B126" s="48"/>
      <c r="C126" s="255">
        <f>SUM(C111:C125)</f>
        <v>1511</v>
      </c>
      <c r="D126" s="255">
        <f>SUM(D111:D125)</f>
        <v>1777</v>
      </c>
      <c r="E126" s="276">
        <f>SUM(E111:E125)</f>
        <v>52.457499999999996</v>
      </c>
      <c r="F126" s="276">
        <f t="shared" ref="F126:N126" si="5">SUM(F111:F125)</f>
        <v>63.589350000000003</v>
      </c>
      <c r="G126" s="276">
        <f t="shared" si="5"/>
        <v>48.09729999999999</v>
      </c>
      <c r="H126" s="276">
        <f t="shared" si="5"/>
        <v>56.095700000000015</v>
      </c>
      <c r="I126" s="276">
        <f t="shared" si="5"/>
        <v>193.65039999999999</v>
      </c>
      <c r="J126" s="276">
        <f t="shared" si="5"/>
        <v>227.41084999999998</v>
      </c>
      <c r="K126" s="276">
        <f t="shared" si="5"/>
        <v>1424.9100000000003</v>
      </c>
      <c r="L126" s="276">
        <f t="shared" si="5"/>
        <v>1693.655</v>
      </c>
      <c r="M126" s="276">
        <f t="shared" si="5"/>
        <v>51.784350000000003</v>
      </c>
      <c r="N126" s="276">
        <f t="shared" si="5"/>
        <v>56.155050000000003</v>
      </c>
      <c r="O126" s="277"/>
      <c r="P126" s="88"/>
      <c r="Q126" s="88"/>
      <c r="R126" s="88"/>
      <c r="S126" s="88"/>
    </row>
    <row r="127" spans="1:19" s="89" customFormat="1" ht="14.15" customHeight="1" thickBot="1" x14ac:dyDescent="0.4">
      <c r="A127" s="275"/>
      <c r="B127" s="141"/>
      <c r="C127" s="145"/>
      <c r="D127" s="145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89"/>
      <c r="P127" s="88"/>
      <c r="Q127" s="88"/>
      <c r="R127" s="88"/>
      <c r="S127" s="88"/>
    </row>
    <row r="128" spans="1:19" s="89" customFormat="1" ht="14.15" customHeight="1" thickBot="1" x14ac:dyDescent="0.4">
      <c r="A128" s="736" t="s">
        <v>179</v>
      </c>
      <c r="B128" s="737"/>
      <c r="C128" s="737"/>
      <c r="D128" s="737"/>
      <c r="E128" s="737"/>
      <c r="F128" s="737"/>
      <c r="G128" s="737"/>
      <c r="H128" s="737"/>
      <c r="I128" s="737"/>
      <c r="J128" s="737"/>
      <c r="K128" s="737"/>
      <c r="L128" s="737"/>
      <c r="M128" s="737"/>
      <c r="N128" s="737"/>
      <c r="O128" s="738"/>
      <c r="P128" s="88"/>
      <c r="Q128" s="88"/>
      <c r="R128" s="88"/>
      <c r="S128" s="88"/>
    </row>
    <row r="129" spans="1:21" s="89" customFormat="1" ht="14.15" customHeight="1" thickBot="1" x14ac:dyDescent="0.35">
      <c r="A129" s="743" t="s">
        <v>161</v>
      </c>
      <c r="B129" s="67" t="s">
        <v>74</v>
      </c>
      <c r="C129" s="781" t="s">
        <v>76</v>
      </c>
      <c r="D129" s="767"/>
      <c r="E129" s="756" t="s">
        <v>101</v>
      </c>
      <c r="F129" s="754"/>
      <c r="G129" s="754"/>
      <c r="H129" s="754"/>
      <c r="I129" s="754"/>
      <c r="J129" s="755"/>
      <c r="K129" s="739" t="s">
        <v>160</v>
      </c>
      <c r="L129" s="740"/>
      <c r="M129" s="739" t="s">
        <v>80</v>
      </c>
      <c r="N129" s="740"/>
      <c r="O129" s="746" t="s">
        <v>209</v>
      </c>
      <c r="P129" s="88"/>
      <c r="Q129" s="88"/>
      <c r="R129" s="88"/>
      <c r="S129" s="88"/>
    </row>
    <row r="130" spans="1:21" ht="15.75" customHeight="1" thickBot="1" x14ac:dyDescent="0.35">
      <c r="A130" s="744"/>
      <c r="B130" s="69" t="s">
        <v>75</v>
      </c>
      <c r="C130" s="751" t="s">
        <v>75</v>
      </c>
      <c r="D130" s="752"/>
      <c r="E130" s="753" t="s">
        <v>77</v>
      </c>
      <c r="F130" s="752"/>
      <c r="G130" s="753" t="s">
        <v>78</v>
      </c>
      <c r="H130" s="752"/>
      <c r="I130" s="753" t="s">
        <v>79</v>
      </c>
      <c r="J130" s="752"/>
      <c r="K130" s="741"/>
      <c r="L130" s="742"/>
      <c r="M130" s="741"/>
      <c r="N130" s="742"/>
      <c r="O130" s="747"/>
      <c r="P130" s="55"/>
      <c r="Q130" s="55"/>
      <c r="R130" s="55"/>
      <c r="S130" s="55"/>
      <c r="T130" s="56"/>
      <c r="U130" s="56"/>
    </row>
    <row r="131" spans="1:21" ht="13" customHeight="1" thickBot="1" x14ac:dyDescent="0.35">
      <c r="A131" s="744"/>
      <c r="B131" s="72"/>
      <c r="C131" s="71" t="s">
        <v>158</v>
      </c>
      <c r="D131" s="71" t="s">
        <v>159</v>
      </c>
      <c r="E131" s="74" t="s">
        <v>158</v>
      </c>
      <c r="F131" s="74" t="s">
        <v>159</v>
      </c>
      <c r="G131" s="74" t="s">
        <v>158</v>
      </c>
      <c r="H131" s="74" t="s">
        <v>159</v>
      </c>
      <c r="I131" s="74" t="s">
        <v>158</v>
      </c>
      <c r="J131" s="74" t="s">
        <v>159</v>
      </c>
      <c r="K131" s="74" t="s">
        <v>158</v>
      </c>
      <c r="L131" s="74" t="s">
        <v>159</v>
      </c>
      <c r="M131" s="74" t="s">
        <v>158</v>
      </c>
      <c r="N131" s="74" t="s">
        <v>159</v>
      </c>
      <c r="O131" s="748"/>
    </row>
    <row r="132" spans="1:21" ht="13" customHeight="1" x14ac:dyDescent="0.3">
      <c r="A132" s="757" t="s">
        <v>81</v>
      </c>
      <c r="B132" s="27" t="s">
        <v>219</v>
      </c>
      <c r="C132" s="20">
        <v>90</v>
      </c>
      <c r="D132" s="20">
        <v>100</v>
      </c>
      <c r="E132" s="234">
        <f>15.1*90/100</f>
        <v>13.59</v>
      </c>
      <c r="F132" s="234">
        <v>15.14</v>
      </c>
      <c r="G132" s="234">
        <f>10.76*90/100</f>
        <v>9.6839999999999993</v>
      </c>
      <c r="H132" s="234">
        <v>10.76</v>
      </c>
      <c r="I132" s="234">
        <f>24.33*90/100</f>
        <v>21.896999999999998</v>
      </c>
      <c r="J132" s="234">
        <v>25.33</v>
      </c>
      <c r="K132" s="234">
        <f>255*90/100</f>
        <v>229.5</v>
      </c>
      <c r="L132" s="234">
        <v>255</v>
      </c>
      <c r="M132" s="234">
        <f>0.19*90/100</f>
        <v>0.17100000000000001</v>
      </c>
      <c r="N132" s="234">
        <v>0.19</v>
      </c>
      <c r="O132" s="271">
        <v>235</v>
      </c>
    </row>
    <row r="133" spans="1:21" ht="13" customHeight="1" x14ac:dyDescent="0.3">
      <c r="A133" s="758"/>
      <c r="B133" s="92" t="s">
        <v>283</v>
      </c>
      <c r="C133" s="119">
        <v>24</v>
      </c>
      <c r="D133" s="119">
        <v>30</v>
      </c>
      <c r="E133" s="122">
        <f>7.5*24/100</f>
        <v>1.8</v>
      </c>
      <c r="F133" s="122">
        <f>7.5*30/100</f>
        <v>2.25</v>
      </c>
      <c r="G133" s="122">
        <f>2.9*24/1000</f>
        <v>6.9599999999999995E-2</v>
      </c>
      <c r="H133" s="122">
        <f>2.9*30/1000</f>
        <v>8.6999999999999994E-2</v>
      </c>
      <c r="I133" s="122">
        <f>51.4*24/100</f>
        <v>12.335999999999999</v>
      </c>
      <c r="J133" s="122">
        <f>51.4*30/100</f>
        <v>15.42</v>
      </c>
      <c r="K133" s="122">
        <f>262*24/100</f>
        <v>62.88</v>
      </c>
      <c r="L133" s="122">
        <f>262*30/100</f>
        <v>78.599999999999994</v>
      </c>
      <c r="M133" s="122">
        <f>0</f>
        <v>0</v>
      </c>
      <c r="N133" s="122">
        <v>0</v>
      </c>
      <c r="O133" s="236" t="s">
        <v>287</v>
      </c>
    </row>
    <row r="134" spans="1:21" s="89" customFormat="1" ht="13" customHeight="1" x14ac:dyDescent="0.3">
      <c r="A134" s="759"/>
      <c r="B134" s="92" t="s">
        <v>82</v>
      </c>
      <c r="C134" s="21">
        <v>5</v>
      </c>
      <c r="D134" s="21">
        <v>10</v>
      </c>
      <c r="E134" s="122">
        <f>2.32*5/10</f>
        <v>1.1599999999999999</v>
      </c>
      <c r="F134" s="122">
        <v>2.3199999999999998</v>
      </c>
      <c r="G134" s="122">
        <f>2.95*5/10</f>
        <v>1.4750000000000001</v>
      </c>
      <c r="H134" s="122">
        <v>2.95</v>
      </c>
      <c r="I134" s="122">
        <v>0</v>
      </c>
      <c r="J134" s="122">
        <v>0</v>
      </c>
      <c r="K134" s="122">
        <f>36*5/10</f>
        <v>18</v>
      </c>
      <c r="L134" s="122">
        <v>36</v>
      </c>
      <c r="M134" s="122">
        <f>0.07*5/10</f>
        <v>3.5000000000000003E-2</v>
      </c>
      <c r="N134" s="122">
        <v>7.0000000000000007E-2</v>
      </c>
      <c r="O134" s="236">
        <v>7</v>
      </c>
      <c r="P134" s="88"/>
      <c r="Q134" s="88"/>
      <c r="R134" s="88"/>
      <c r="S134" s="88"/>
    </row>
    <row r="135" spans="1:21" s="89" customFormat="1" ht="13" customHeight="1" thickBot="1" x14ac:dyDescent="0.35">
      <c r="A135" s="760"/>
      <c r="B135" s="28" t="s">
        <v>258</v>
      </c>
      <c r="C135" s="112">
        <v>150</v>
      </c>
      <c r="D135" s="112">
        <v>180</v>
      </c>
      <c r="E135" s="278">
        <v>0.04</v>
      </c>
      <c r="F135" s="278">
        <v>0.04</v>
      </c>
      <c r="G135" s="278">
        <v>0.01</v>
      </c>
      <c r="H135" s="278">
        <v>0.02</v>
      </c>
      <c r="I135" s="278">
        <v>6.99</v>
      </c>
      <c r="J135" s="278">
        <v>9.99</v>
      </c>
      <c r="K135" s="278">
        <v>28</v>
      </c>
      <c r="L135" s="278">
        <v>40</v>
      </c>
      <c r="M135" s="278">
        <v>0.02</v>
      </c>
      <c r="N135" s="278">
        <v>0.03</v>
      </c>
      <c r="O135" s="279">
        <v>392</v>
      </c>
      <c r="P135" s="88"/>
      <c r="Q135" s="88"/>
      <c r="R135" s="88"/>
      <c r="S135" s="88"/>
    </row>
    <row r="136" spans="1:21" s="89" customFormat="1" ht="13" customHeight="1" thickBot="1" x14ac:dyDescent="0.35">
      <c r="A136" s="146" t="s">
        <v>83</v>
      </c>
      <c r="B136" s="299" t="s">
        <v>212</v>
      </c>
      <c r="C136" s="313" t="s">
        <v>205</v>
      </c>
      <c r="D136" s="298">
        <v>200</v>
      </c>
      <c r="E136" s="303">
        <f>0.45*200/150</f>
        <v>0.6</v>
      </c>
      <c r="F136" s="302">
        <f>0.45*200/150</f>
        <v>0.6</v>
      </c>
      <c r="G136" s="303">
        <f>0.15*200/150</f>
        <v>0.2</v>
      </c>
      <c r="H136" s="302">
        <f>0.15*200/150</f>
        <v>0.2</v>
      </c>
      <c r="I136" s="303">
        <f>22.8*200/150</f>
        <v>30.4</v>
      </c>
      <c r="J136" s="302">
        <f>22.8*200/150</f>
        <v>30.4</v>
      </c>
      <c r="K136" s="303">
        <f>94*200/150</f>
        <v>125.33333333333333</v>
      </c>
      <c r="L136" s="302">
        <f>94*200/150</f>
        <v>125.33333333333333</v>
      </c>
      <c r="M136" s="303">
        <f>6*200/150</f>
        <v>8</v>
      </c>
      <c r="N136" s="302">
        <f>6*200/150</f>
        <v>8</v>
      </c>
      <c r="O136" s="90">
        <v>399</v>
      </c>
      <c r="P136" s="88"/>
      <c r="Q136" s="88"/>
      <c r="R136" s="88"/>
      <c r="S136" s="88"/>
    </row>
    <row r="137" spans="1:21" s="89" customFormat="1" ht="13" customHeight="1" x14ac:dyDescent="0.3">
      <c r="A137" s="762" t="s">
        <v>85</v>
      </c>
      <c r="B137" s="27" t="s">
        <v>217</v>
      </c>
      <c r="C137" s="20">
        <v>45</v>
      </c>
      <c r="D137" s="20">
        <v>60</v>
      </c>
      <c r="E137" s="234">
        <f>19.69*45/1000</f>
        <v>0.88605000000000012</v>
      </c>
      <c r="F137" s="234">
        <f>19.69*60/1000</f>
        <v>1.1814</v>
      </c>
      <c r="G137" s="234">
        <f>52.42*45/1000</f>
        <v>2.3589000000000002</v>
      </c>
      <c r="H137" s="234">
        <f>52.42*60/1000</f>
        <v>3.1452000000000004</v>
      </c>
      <c r="I137" s="234">
        <f>97.77*45/1000</f>
        <v>4.3996499999999994</v>
      </c>
      <c r="J137" s="234">
        <f>97.77*60/1000</f>
        <v>5.8662000000000001</v>
      </c>
      <c r="K137" s="234">
        <f>942*45/1000</f>
        <v>42.39</v>
      </c>
      <c r="L137" s="234">
        <f>942*60/1000</f>
        <v>56.52</v>
      </c>
      <c r="M137" s="234">
        <f>156*45/1000</f>
        <v>7.02</v>
      </c>
      <c r="N137" s="234">
        <f>156.6*60/1000</f>
        <v>9.3960000000000008</v>
      </c>
      <c r="O137" s="271">
        <v>25</v>
      </c>
      <c r="P137" s="88"/>
      <c r="Q137" s="88"/>
      <c r="R137" s="88"/>
      <c r="S137" s="88"/>
    </row>
    <row r="138" spans="1:21" s="89" customFormat="1" ht="13" customHeight="1" x14ac:dyDescent="0.3">
      <c r="A138" s="763"/>
      <c r="B138" s="92" t="s">
        <v>327</v>
      </c>
      <c r="C138" s="21">
        <v>220</v>
      </c>
      <c r="D138" s="21">
        <v>270</v>
      </c>
      <c r="E138" s="122">
        <f>6.8*200/1000+0.24</f>
        <v>1.6</v>
      </c>
      <c r="F138" s="122">
        <f>6.96*250/1000+0.24</f>
        <v>1.98</v>
      </c>
      <c r="G138" s="122">
        <f>19.28*200/1000+0.24</f>
        <v>4.0960000000000001</v>
      </c>
      <c r="H138" s="122">
        <f>19.28*250/1000+0.24</f>
        <v>5.0600000000000005</v>
      </c>
      <c r="I138" s="122">
        <f>26.75*200/1000+0.32</f>
        <v>5.67</v>
      </c>
      <c r="J138" s="122">
        <f>26.75*250/1000+0.32</f>
        <v>7.0075000000000003</v>
      </c>
      <c r="K138" s="122">
        <f>308*200/1000+25</f>
        <v>86.6</v>
      </c>
      <c r="L138" s="122">
        <f>308*250/1000+25</f>
        <v>102</v>
      </c>
      <c r="M138" s="122">
        <f>80.14*200/1000+0.03</f>
        <v>16.058</v>
      </c>
      <c r="N138" s="122">
        <f>80.14*250/1000+0.03</f>
        <v>20.065000000000001</v>
      </c>
      <c r="O138" s="236">
        <v>66</v>
      </c>
      <c r="P138" s="88"/>
      <c r="Q138" s="88"/>
      <c r="R138" s="88"/>
      <c r="S138" s="88"/>
    </row>
    <row r="139" spans="1:21" s="89" customFormat="1" ht="13" customHeight="1" x14ac:dyDescent="0.3">
      <c r="A139" s="768"/>
      <c r="B139" s="92" t="s">
        <v>127</v>
      </c>
      <c r="C139" s="21">
        <v>60</v>
      </c>
      <c r="D139" s="21">
        <v>80</v>
      </c>
      <c r="E139" s="122">
        <v>8.98</v>
      </c>
      <c r="F139" s="122">
        <v>12.08</v>
      </c>
      <c r="G139" s="122">
        <v>2.68</v>
      </c>
      <c r="H139" s="122">
        <v>3.92</v>
      </c>
      <c r="I139" s="122">
        <v>5.84</v>
      </c>
      <c r="J139" s="122">
        <v>8.2100000000000009</v>
      </c>
      <c r="K139" s="122">
        <v>83</v>
      </c>
      <c r="L139" s="122">
        <v>116</v>
      </c>
      <c r="M139" s="122">
        <v>1.83</v>
      </c>
      <c r="N139" s="122">
        <v>2.62</v>
      </c>
      <c r="O139" s="247">
        <v>258</v>
      </c>
      <c r="P139" s="88"/>
      <c r="Q139" s="88"/>
      <c r="R139" s="88"/>
      <c r="S139" s="88"/>
    </row>
    <row r="140" spans="1:21" s="89" customFormat="1" ht="13" customHeight="1" x14ac:dyDescent="0.3">
      <c r="A140" s="763"/>
      <c r="B140" s="92" t="s">
        <v>98</v>
      </c>
      <c r="C140" s="21">
        <v>110</v>
      </c>
      <c r="D140" s="21">
        <v>150</v>
      </c>
      <c r="E140" s="122">
        <f>20.43*110/1000</f>
        <v>2.2473000000000001</v>
      </c>
      <c r="F140" s="122">
        <f>20.43*150/1000</f>
        <v>3.0644999999999998</v>
      </c>
      <c r="G140" s="122">
        <f>32.01*110/1000</f>
        <v>3.5211000000000001</v>
      </c>
      <c r="H140" s="122">
        <f>32.01*150/1000</f>
        <v>4.8014999999999999</v>
      </c>
      <c r="I140" s="122">
        <f>136.26*110/1000</f>
        <v>14.988599999999998</v>
      </c>
      <c r="J140" s="122">
        <f>136.26*150/1000</f>
        <v>20.439</v>
      </c>
      <c r="K140" s="122">
        <f>915*110/1000</f>
        <v>100.65</v>
      </c>
      <c r="L140" s="122">
        <f>915*150/1000</f>
        <v>137.25</v>
      </c>
      <c r="M140" s="122">
        <f>121.07*110/1000</f>
        <v>13.317699999999999</v>
      </c>
      <c r="N140" s="122">
        <f>121.07*150/1000</f>
        <v>18.160499999999999</v>
      </c>
      <c r="O140" s="247">
        <v>321</v>
      </c>
      <c r="P140" s="88"/>
      <c r="Q140" s="88"/>
      <c r="R140" s="88"/>
      <c r="S140" s="88"/>
    </row>
    <row r="141" spans="1:21" s="89" customFormat="1" ht="13" customHeight="1" x14ac:dyDescent="0.3">
      <c r="A141" s="763"/>
      <c r="B141" s="92" t="s">
        <v>259</v>
      </c>
      <c r="C141" s="21">
        <v>150</v>
      </c>
      <c r="D141" s="21">
        <v>180</v>
      </c>
      <c r="E141" s="122">
        <f>0.8*150/1000</f>
        <v>0.12</v>
      </c>
      <c r="F141" s="122">
        <f>0.8*180/1000</f>
        <v>0.14399999999999999</v>
      </c>
      <c r="G141" s="122">
        <f>0.8*150/1000</f>
        <v>0.12</v>
      </c>
      <c r="H141" s="122">
        <f>0.8*180/1000</f>
        <v>0.14399999999999999</v>
      </c>
      <c r="I141" s="122">
        <f>119.4*150/1000</f>
        <v>17.91</v>
      </c>
      <c r="J141" s="122">
        <f>119.4*180/1000</f>
        <v>21.492000000000001</v>
      </c>
      <c r="K141" s="122">
        <f>488*150/1000</f>
        <v>73.2</v>
      </c>
      <c r="L141" s="122">
        <f>488*180/1000</f>
        <v>87.84</v>
      </c>
      <c r="M141" s="122">
        <f>8.6*150/1000</f>
        <v>1.29</v>
      </c>
      <c r="N141" s="122">
        <f>8.6*180/1000</f>
        <v>1.548</v>
      </c>
      <c r="O141" s="247">
        <v>372</v>
      </c>
      <c r="P141" s="88"/>
      <c r="Q141" s="88"/>
      <c r="R141" s="88"/>
      <c r="S141" s="88"/>
    </row>
    <row r="142" spans="1:21" s="89" customFormat="1" ht="13" customHeight="1" x14ac:dyDescent="0.3">
      <c r="A142" s="763"/>
      <c r="B142" s="92" t="s">
        <v>155</v>
      </c>
      <c r="C142" s="119">
        <v>20</v>
      </c>
      <c r="D142" s="119">
        <v>25</v>
      </c>
      <c r="E142" s="269">
        <f>7.6*20/100</f>
        <v>1.52</v>
      </c>
      <c r="F142" s="122">
        <f>7.6*25/100</f>
        <v>1.9</v>
      </c>
      <c r="G142" s="122">
        <f>0.8*20/1000</f>
        <v>1.6E-2</v>
      </c>
      <c r="H142" s="122">
        <f>0.8*25/1000</f>
        <v>0.02</v>
      </c>
      <c r="I142" s="122">
        <f>49.2*20/100</f>
        <v>9.84</v>
      </c>
      <c r="J142" s="122">
        <f>49.2*25/100</f>
        <v>12.3</v>
      </c>
      <c r="K142" s="122">
        <f>235*20/100</f>
        <v>47</v>
      </c>
      <c r="L142" s="122">
        <f>235*25/100</f>
        <v>58.75</v>
      </c>
      <c r="M142" s="122">
        <v>0</v>
      </c>
      <c r="N142" s="122">
        <v>0</v>
      </c>
      <c r="O142" s="236" t="s">
        <v>277</v>
      </c>
      <c r="P142" s="88"/>
      <c r="Q142" s="88"/>
      <c r="R142" s="88"/>
      <c r="S142" s="88"/>
    </row>
    <row r="143" spans="1:21" s="66" customFormat="1" ht="13" customHeight="1" thickBot="1" x14ac:dyDescent="0.35">
      <c r="A143" s="764"/>
      <c r="B143" s="28" t="s">
        <v>162</v>
      </c>
      <c r="C143" s="23">
        <v>17</v>
      </c>
      <c r="D143" s="23">
        <v>21</v>
      </c>
      <c r="E143" s="282">
        <f>5.6*17/100</f>
        <v>0.95199999999999985</v>
      </c>
      <c r="F143" s="278">
        <f>5.6*21/100</f>
        <v>1.1759999999999999</v>
      </c>
      <c r="G143" s="278">
        <f>1.1*17/100</f>
        <v>0.18700000000000003</v>
      </c>
      <c r="H143" s="278">
        <f>1.1*21/100</f>
        <v>0.23100000000000001</v>
      </c>
      <c r="I143" s="278">
        <f>49.4*17/100</f>
        <v>8.3979999999999997</v>
      </c>
      <c r="J143" s="278">
        <f>49.4*17/100</f>
        <v>8.3979999999999997</v>
      </c>
      <c r="K143" s="278">
        <f>232*17/100</f>
        <v>39.44</v>
      </c>
      <c r="L143" s="278">
        <f>232*21/100</f>
        <v>48.72</v>
      </c>
      <c r="M143" s="278">
        <v>0</v>
      </c>
      <c r="N143" s="278">
        <v>0</v>
      </c>
      <c r="O143" s="283" t="s">
        <v>277</v>
      </c>
      <c r="P143" s="65"/>
      <c r="Q143" s="65"/>
      <c r="R143" s="65"/>
      <c r="S143" s="65"/>
    </row>
    <row r="144" spans="1:21" s="66" customFormat="1" ht="13" customHeight="1" x14ac:dyDescent="0.3">
      <c r="A144" s="757" t="s">
        <v>86</v>
      </c>
      <c r="B144" s="191" t="s">
        <v>112</v>
      </c>
      <c r="C144" s="120">
        <v>120</v>
      </c>
      <c r="D144" s="120">
        <v>160</v>
      </c>
      <c r="E144" s="249">
        <v>10.61</v>
      </c>
      <c r="F144" s="249">
        <v>14.12</v>
      </c>
      <c r="G144" s="249">
        <v>8.11</v>
      </c>
      <c r="H144" s="249">
        <v>10.78</v>
      </c>
      <c r="I144" s="249">
        <v>15.04</v>
      </c>
      <c r="J144" s="249">
        <v>20.260000000000002</v>
      </c>
      <c r="K144" s="249">
        <v>164</v>
      </c>
      <c r="L144" s="249">
        <v>219</v>
      </c>
      <c r="M144" s="249">
        <v>15.03</v>
      </c>
      <c r="N144" s="249">
        <v>20.03</v>
      </c>
      <c r="O144" s="284">
        <v>298</v>
      </c>
      <c r="P144" s="65"/>
      <c r="Q144" s="65"/>
      <c r="R144" s="65"/>
      <c r="S144" s="65"/>
    </row>
    <row r="145" spans="1:21" s="66" customFormat="1" ht="13" customHeight="1" x14ac:dyDescent="0.3">
      <c r="A145" s="758"/>
      <c r="B145" s="92" t="s">
        <v>162</v>
      </c>
      <c r="C145" s="21">
        <v>17</v>
      </c>
      <c r="D145" s="21">
        <v>21</v>
      </c>
      <c r="E145" s="269">
        <f>5.6*17/100</f>
        <v>0.95199999999999985</v>
      </c>
      <c r="F145" s="122">
        <f>5.6*21/100</f>
        <v>1.1759999999999999</v>
      </c>
      <c r="G145" s="122">
        <f>1.1*17/100</f>
        <v>0.18700000000000003</v>
      </c>
      <c r="H145" s="122">
        <f>1.1*21/100</f>
        <v>0.23100000000000001</v>
      </c>
      <c r="I145" s="122">
        <f>49.4*17/100</f>
        <v>8.3979999999999997</v>
      </c>
      <c r="J145" s="122">
        <f>49.4*17/100</f>
        <v>8.3979999999999997</v>
      </c>
      <c r="K145" s="122">
        <f>232*17/100</f>
        <v>39.44</v>
      </c>
      <c r="L145" s="122">
        <f>232*21/100</f>
        <v>48.72</v>
      </c>
      <c r="M145" s="122">
        <v>0</v>
      </c>
      <c r="N145" s="122">
        <v>0</v>
      </c>
      <c r="O145" s="236" t="s">
        <v>277</v>
      </c>
      <c r="P145" s="65"/>
      <c r="Q145" s="65"/>
      <c r="R145" s="65"/>
      <c r="S145" s="65"/>
    </row>
    <row r="146" spans="1:21" s="66" customFormat="1" ht="13" customHeight="1" x14ac:dyDescent="0.3">
      <c r="A146" s="759"/>
      <c r="B146" s="92" t="s">
        <v>147</v>
      </c>
      <c r="C146" s="21">
        <v>150</v>
      </c>
      <c r="D146" s="21">
        <v>180</v>
      </c>
      <c r="E146" s="122">
        <v>0.51</v>
      </c>
      <c r="F146" s="122">
        <v>0.61</v>
      </c>
      <c r="G146" s="122">
        <v>0.21</v>
      </c>
      <c r="H146" s="122">
        <v>0.25</v>
      </c>
      <c r="I146" s="122">
        <v>14.23</v>
      </c>
      <c r="J146" s="122">
        <v>18.670000000000002</v>
      </c>
      <c r="K146" s="122">
        <v>61</v>
      </c>
      <c r="L146" s="122">
        <v>79</v>
      </c>
      <c r="M146" s="122">
        <v>75</v>
      </c>
      <c r="N146" s="122">
        <v>90</v>
      </c>
      <c r="O146" s="236">
        <v>398</v>
      </c>
      <c r="P146" s="65"/>
      <c r="Q146" s="65"/>
      <c r="R146" s="65"/>
      <c r="S146" s="65"/>
    </row>
    <row r="147" spans="1:21" s="66" customFormat="1" ht="13" customHeight="1" thickBot="1" x14ac:dyDescent="0.35">
      <c r="A147" s="759"/>
      <c r="B147" s="28" t="s">
        <v>282</v>
      </c>
      <c r="C147" s="112">
        <v>50</v>
      </c>
      <c r="D147" s="112">
        <v>50</v>
      </c>
      <c r="E147" s="278">
        <v>1.98</v>
      </c>
      <c r="F147" s="278">
        <v>1.98</v>
      </c>
      <c r="G147" s="278">
        <v>2.0299999999999998</v>
      </c>
      <c r="H147" s="278">
        <v>2.0299999999999998</v>
      </c>
      <c r="I147" s="278">
        <v>13.62</v>
      </c>
      <c r="J147" s="278">
        <v>13.62</v>
      </c>
      <c r="K147" s="278">
        <v>81</v>
      </c>
      <c r="L147" s="278">
        <v>81</v>
      </c>
      <c r="M147" s="278">
        <v>0</v>
      </c>
      <c r="N147" s="278">
        <v>0</v>
      </c>
      <c r="O147" s="283">
        <v>467</v>
      </c>
      <c r="P147" s="65"/>
      <c r="Q147" s="65"/>
      <c r="R147" s="65"/>
      <c r="S147" s="65"/>
    </row>
    <row r="148" spans="1:21" s="66" customFormat="1" ht="13" customHeight="1" thickBot="1" x14ac:dyDescent="0.35">
      <c r="A148" s="106" t="s">
        <v>90</v>
      </c>
      <c r="B148" s="312"/>
      <c r="C148" s="308">
        <f>SUM(C132:C147)</f>
        <v>1228</v>
      </c>
      <c r="D148" s="308">
        <f>SUM(D132:D147)</f>
        <v>1717</v>
      </c>
      <c r="E148" s="105">
        <f>SUM(E132:E147)</f>
        <v>47.547349999999994</v>
      </c>
      <c r="F148" s="105">
        <f t="shared" ref="F148:N148" si="6">SUM(F132:F147)</f>
        <v>59.761899999999997</v>
      </c>
      <c r="G148" s="105">
        <f t="shared" si="6"/>
        <v>34.954599999999992</v>
      </c>
      <c r="H148" s="105">
        <f t="shared" si="6"/>
        <v>44.629700000000007</v>
      </c>
      <c r="I148" s="105">
        <f t="shared" si="6"/>
        <v>189.95724999999996</v>
      </c>
      <c r="J148" s="105">
        <f t="shared" si="6"/>
        <v>225.80070000000001</v>
      </c>
      <c r="K148" s="105">
        <f t="shared" si="6"/>
        <v>1281.4333333333334</v>
      </c>
      <c r="L148" s="105">
        <f t="shared" si="6"/>
        <v>1569.7333333333333</v>
      </c>
      <c r="M148" s="105">
        <f t="shared" si="6"/>
        <v>137.77170000000001</v>
      </c>
      <c r="N148" s="105">
        <f t="shared" si="6"/>
        <v>170.1095</v>
      </c>
      <c r="O148" s="309"/>
      <c r="P148" s="65"/>
      <c r="Q148" s="65"/>
      <c r="R148" s="65"/>
      <c r="S148" s="65"/>
    </row>
    <row r="149" spans="1:21" s="66" customFormat="1" ht="13" customHeight="1" thickBot="1" x14ac:dyDescent="0.4">
      <c r="A149" s="778" t="s">
        <v>243</v>
      </c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80"/>
      <c r="P149" s="65"/>
      <c r="Q149" s="65"/>
      <c r="R149" s="65"/>
      <c r="S149" s="65"/>
    </row>
    <row r="150" spans="1:21" s="66" customFormat="1" ht="13" customHeight="1" thickBot="1" x14ac:dyDescent="0.35">
      <c r="A150" s="776" t="s">
        <v>161</v>
      </c>
      <c r="B150" s="67" t="s">
        <v>74</v>
      </c>
      <c r="C150" s="781" t="s">
        <v>76</v>
      </c>
      <c r="D150" s="767"/>
      <c r="E150" s="756" t="s">
        <v>101</v>
      </c>
      <c r="F150" s="754"/>
      <c r="G150" s="754"/>
      <c r="H150" s="754"/>
      <c r="I150" s="754"/>
      <c r="J150" s="755"/>
      <c r="K150" s="739" t="s">
        <v>160</v>
      </c>
      <c r="L150" s="740"/>
      <c r="M150" s="739" t="s">
        <v>80</v>
      </c>
      <c r="N150" s="740"/>
      <c r="O150" s="746" t="s">
        <v>209</v>
      </c>
      <c r="P150" s="65"/>
      <c r="Q150" s="65"/>
      <c r="R150" s="65"/>
      <c r="S150" s="65"/>
    </row>
    <row r="151" spans="1:21" ht="17.25" customHeight="1" thickBot="1" x14ac:dyDescent="0.35">
      <c r="A151" s="777"/>
      <c r="B151" s="69" t="s">
        <v>75</v>
      </c>
      <c r="C151" s="761" t="s">
        <v>75</v>
      </c>
      <c r="D151" s="750"/>
      <c r="E151" s="753" t="s">
        <v>77</v>
      </c>
      <c r="F151" s="752"/>
      <c r="G151" s="756" t="s">
        <v>78</v>
      </c>
      <c r="H151" s="755"/>
      <c r="I151" s="756" t="s">
        <v>79</v>
      </c>
      <c r="J151" s="755"/>
      <c r="K151" s="765"/>
      <c r="L151" s="742"/>
      <c r="M151" s="741"/>
      <c r="N151" s="742"/>
      <c r="O151" s="747"/>
      <c r="P151" s="55"/>
      <c r="Q151" s="55"/>
      <c r="R151" s="55"/>
      <c r="S151" s="55"/>
      <c r="T151" s="56"/>
      <c r="U151" s="56"/>
    </row>
    <row r="152" spans="1:21" ht="13" customHeight="1" thickBot="1" x14ac:dyDescent="0.35">
      <c r="A152" s="777"/>
      <c r="B152" s="72"/>
      <c r="C152" s="71" t="s">
        <v>158</v>
      </c>
      <c r="D152" s="71" t="s">
        <v>159</v>
      </c>
      <c r="E152" s="74" t="s">
        <v>158</v>
      </c>
      <c r="F152" s="75" t="s">
        <v>159</v>
      </c>
      <c r="G152" s="74" t="s">
        <v>158</v>
      </c>
      <c r="H152" s="74" t="s">
        <v>159</v>
      </c>
      <c r="I152" s="74" t="s">
        <v>158</v>
      </c>
      <c r="J152" s="74" t="s">
        <v>159</v>
      </c>
      <c r="K152" s="74" t="s">
        <v>158</v>
      </c>
      <c r="L152" s="74" t="s">
        <v>159</v>
      </c>
      <c r="M152" s="74" t="s">
        <v>158</v>
      </c>
      <c r="N152" s="74" t="s">
        <v>159</v>
      </c>
      <c r="O152" s="748"/>
    </row>
    <row r="153" spans="1:21" ht="13" customHeight="1" x14ac:dyDescent="0.3">
      <c r="A153" s="757" t="s">
        <v>81</v>
      </c>
      <c r="B153" s="27" t="s">
        <v>100</v>
      </c>
      <c r="C153" s="20">
        <v>155</v>
      </c>
      <c r="D153" s="20">
        <v>155</v>
      </c>
      <c r="E153" s="234">
        <f>5.73*155/65</f>
        <v>13.663846153846155</v>
      </c>
      <c r="F153" s="234">
        <f>5.73*155/65</f>
        <v>13.663846153846155</v>
      </c>
      <c r="G153" s="234">
        <f>11.04*155/65</f>
        <v>26.326153846153844</v>
      </c>
      <c r="H153" s="234">
        <f>11.04*155/65</f>
        <v>26.326153846153844</v>
      </c>
      <c r="I153" s="234">
        <f>1.1*155/65</f>
        <v>2.6230769230769231</v>
      </c>
      <c r="J153" s="234">
        <f>1.1*155/65</f>
        <v>2.6230769230769231</v>
      </c>
      <c r="K153" s="234">
        <f>127*155/65</f>
        <v>302.84615384615387</v>
      </c>
      <c r="L153" s="234">
        <f>127*155/65</f>
        <v>302.84615384615387</v>
      </c>
      <c r="M153" s="234">
        <f>0.1*155/65</f>
        <v>0.23846153846153847</v>
      </c>
      <c r="N153" s="234">
        <f>0.1*155/65</f>
        <v>0.23846153846153847</v>
      </c>
      <c r="O153" s="271">
        <v>216</v>
      </c>
    </row>
    <row r="154" spans="1:21" ht="13" customHeight="1" x14ac:dyDescent="0.3">
      <c r="A154" s="758"/>
      <c r="B154" s="92" t="s">
        <v>283</v>
      </c>
      <c r="C154" s="114">
        <v>24</v>
      </c>
      <c r="D154" s="114">
        <v>30</v>
      </c>
      <c r="E154" s="122">
        <f>7.5*24/100</f>
        <v>1.8</v>
      </c>
      <c r="F154" s="122">
        <f>7.5*30/100</f>
        <v>2.25</v>
      </c>
      <c r="G154" s="122">
        <f>2.9*24/1000</f>
        <v>6.9599999999999995E-2</v>
      </c>
      <c r="H154" s="122">
        <f>2.9*30/1000</f>
        <v>8.6999999999999994E-2</v>
      </c>
      <c r="I154" s="122">
        <f>51.4*24/100</f>
        <v>12.335999999999999</v>
      </c>
      <c r="J154" s="122">
        <f>51.4*30/100</f>
        <v>15.42</v>
      </c>
      <c r="K154" s="122">
        <f>262*24/100</f>
        <v>62.88</v>
      </c>
      <c r="L154" s="122">
        <f>262*30/100</f>
        <v>78.599999999999994</v>
      </c>
      <c r="M154" s="122">
        <f>0</f>
        <v>0</v>
      </c>
      <c r="N154" s="122">
        <v>0</v>
      </c>
      <c r="O154" s="236" t="s">
        <v>287</v>
      </c>
    </row>
    <row r="155" spans="1:21" s="66" customFormat="1" ht="13" customHeight="1" x14ac:dyDescent="0.3">
      <c r="A155" s="759"/>
      <c r="B155" s="92" t="s">
        <v>28</v>
      </c>
      <c r="C155" s="127" t="s">
        <v>346</v>
      </c>
      <c r="D155" s="127" t="s">
        <v>346</v>
      </c>
      <c r="E155" s="122">
        <f>0.08/2</f>
        <v>0.04</v>
      </c>
      <c r="F155" s="122">
        <f>0.08/2</f>
        <v>0.04</v>
      </c>
      <c r="G155" s="122">
        <f>7.25/2</f>
        <v>3.625</v>
      </c>
      <c r="H155" s="122">
        <f>7.25/2</f>
        <v>3.625</v>
      </c>
      <c r="I155" s="122">
        <f>0.13/2</f>
        <v>6.5000000000000002E-2</v>
      </c>
      <c r="J155" s="122">
        <f>0.13/2</f>
        <v>6.5000000000000002E-2</v>
      </c>
      <c r="K155" s="122">
        <v>33</v>
      </c>
      <c r="L155" s="122">
        <v>33</v>
      </c>
      <c r="M155" s="122">
        <f>0</f>
        <v>0</v>
      </c>
      <c r="N155" s="122">
        <v>0</v>
      </c>
      <c r="O155" s="236">
        <v>6</v>
      </c>
      <c r="P155" s="65"/>
      <c r="Q155" s="65"/>
      <c r="R155" s="65"/>
      <c r="S155" s="65"/>
    </row>
    <row r="156" spans="1:21" ht="12" customHeight="1" thickBot="1" x14ac:dyDescent="0.35">
      <c r="A156" s="760"/>
      <c r="B156" s="294" t="s">
        <v>50</v>
      </c>
      <c r="C156" s="295">
        <v>150</v>
      </c>
      <c r="D156" s="295">
        <v>180</v>
      </c>
      <c r="E156" s="278">
        <v>2.65</v>
      </c>
      <c r="F156" s="278">
        <v>2.67</v>
      </c>
      <c r="G156" s="278">
        <v>2.33</v>
      </c>
      <c r="H156" s="278">
        <v>2.34</v>
      </c>
      <c r="I156" s="278">
        <v>11.31</v>
      </c>
      <c r="J156" s="278">
        <v>14.31</v>
      </c>
      <c r="K156" s="278">
        <v>77</v>
      </c>
      <c r="L156" s="278">
        <v>89</v>
      </c>
      <c r="M156" s="278">
        <v>1.19</v>
      </c>
      <c r="N156" s="278">
        <v>1.2</v>
      </c>
      <c r="O156" s="283">
        <v>394</v>
      </c>
      <c r="P156" s="9"/>
      <c r="Q156" s="9"/>
      <c r="R156" s="9"/>
      <c r="S156" s="9"/>
      <c r="T156" s="54"/>
      <c r="U156" s="54"/>
    </row>
    <row r="157" spans="1:21" s="66" customFormat="1" ht="13" customHeight="1" thickBot="1" x14ac:dyDescent="0.35">
      <c r="A157" s="128" t="s">
        <v>83</v>
      </c>
      <c r="B157" s="292" t="s">
        <v>212</v>
      </c>
      <c r="C157" s="310" t="s">
        <v>205</v>
      </c>
      <c r="D157" s="311">
        <v>200</v>
      </c>
      <c r="E157" s="293">
        <f>0.45*200/150</f>
        <v>0.6</v>
      </c>
      <c r="F157" s="293">
        <f>0.45*200/150</f>
        <v>0.6</v>
      </c>
      <c r="G157" s="293">
        <f>0.15*200/150</f>
        <v>0.2</v>
      </c>
      <c r="H157" s="293">
        <f>0.15*200/150</f>
        <v>0.2</v>
      </c>
      <c r="I157" s="293">
        <f>22.8*200/150</f>
        <v>30.4</v>
      </c>
      <c r="J157" s="293">
        <f>22.8*200/150</f>
        <v>30.4</v>
      </c>
      <c r="K157" s="293">
        <f>94*200/150</f>
        <v>125.33333333333333</v>
      </c>
      <c r="L157" s="293">
        <f>94*200/150</f>
        <v>125.33333333333333</v>
      </c>
      <c r="M157" s="293">
        <f>6*200/150</f>
        <v>8</v>
      </c>
      <c r="N157" s="293">
        <f>6*200/150</f>
        <v>8</v>
      </c>
      <c r="O157" s="309">
        <v>399</v>
      </c>
      <c r="P157" s="65"/>
      <c r="Q157" s="65"/>
      <c r="R157" s="65"/>
      <c r="S157" s="65"/>
    </row>
    <row r="158" spans="1:21" s="66" customFormat="1" ht="13" customHeight="1" x14ac:dyDescent="0.3">
      <c r="A158" s="762" t="s">
        <v>85</v>
      </c>
      <c r="B158" s="27" t="s">
        <v>290</v>
      </c>
      <c r="C158" s="20">
        <v>45</v>
      </c>
      <c r="D158" s="20">
        <v>60</v>
      </c>
      <c r="E158" s="234">
        <f>46.95*45/100</f>
        <v>21.127500000000001</v>
      </c>
      <c r="F158" s="234">
        <f>46.95*60/100</f>
        <v>28.17</v>
      </c>
      <c r="G158" s="234">
        <f>95.01*45/1000</f>
        <v>4.2754500000000002</v>
      </c>
      <c r="H158" s="234">
        <f>95.01*60/1000</f>
        <v>5.7006000000000006</v>
      </c>
      <c r="I158" s="234">
        <f>71.28*45/1000</f>
        <v>3.2075999999999998</v>
      </c>
      <c r="J158" s="234">
        <f>71.28*60/1000</f>
        <v>4.2768000000000006</v>
      </c>
      <c r="K158" s="234">
        <f>1328*45/1000</f>
        <v>59.76</v>
      </c>
      <c r="L158" s="234">
        <f>1328*60/1000</f>
        <v>79.680000000000007</v>
      </c>
      <c r="M158" s="234">
        <f>82.05*45/100</f>
        <v>36.922499999999999</v>
      </c>
      <c r="N158" s="234">
        <f>82.05*60/100</f>
        <v>49.23</v>
      </c>
      <c r="O158" s="271">
        <v>31</v>
      </c>
      <c r="P158" s="65"/>
      <c r="Q158" s="65"/>
      <c r="R158" s="65"/>
      <c r="S158" s="65"/>
    </row>
    <row r="159" spans="1:21" s="66" customFormat="1" ht="13" customHeight="1" x14ac:dyDescent="0.3">
      <c r="A159" s="770"/>
      <c r="B159" s="92" t="s">
        <v>214</v>
      </c>
      <c r="C159" s="21">
        <v>210</v>
      </c>
      <c r="D159" s="21">
        <v>260</v>
      </c>
      <c r="E159" s="122">
        <f>21.96*200/1000</f>
        <v>4.3920000000000003</v>
      </c>
      <c r="F159" s="122">
        <f>21.96*250/1000</f>
        <v>5.49</v>
      </c>
      <c r="G159" s="122">
        <f>21.08*200/1000</f>
        <v>4.2160000000000002</v>
      </c>
      <c r="H159" s="122">
        <f>21.08*250/1000</f>
        <v>5.27</v>
      </c>
      <c r="I159" s="122">
        <f>65.29*200/1000</f>
        <v>13.058000000000002</v>
      </c>
      <c r="J159" s="122">
        <f>65.29*250/1000</f>
        <v>16.322500000000002</v>
      </c>
      <c r="K159" s="122">
        <f>539*200/1000</f>
        <v>107.8</v>
      </c>
      <c r="L159" s="122">
        <f>539*250/1000</f>
        <v>134.75</v>
      </c>
      <c r="M159" s="122">
        <f>23.25*200/1000</f>
        <v>4.6500000000000004</v>
      </c>
      <c r="N159" s="122">
        <f>23.25*250/1000</f>
        <v>5.8125</v>
      </c>
      <c r="O159" s="247">
        <v>81</v>
      </c>
      <c r="P159" s="65"/>
      <c r="Q159" s="65"/>
      <c r="R159" s="65"/>
      <c r="S159" s="65"/>
    </row>
    <row r="160" spans="1:21" s="66" customFormat="1" ht="13" customHeight="1" x14ac:dyDescent="0.3">
      <c r="A160" s="763"/>
      <c r="B160" s="92" t="s">
        <v>328</v>
      </c>
      <c r="C160" s="21">
        <v>60</v>
      </c>
      <c r="D160" s="21">
        <v>70</v>
      </c>
      <c r="E160" s="122">
        <f>12.26*60/55</f>
        <v>13.374545454545455</v>
      </c>
      <c r="F160" s="122">
        <f>12.26*70/55</f>
        <v>15.603636363636362</v>
      </c>
      <c r="G160" s="122">
        <f>5.47*60/55</f>
        <v>5.9672727272727268</v>
      </c>
      <c r="H160" s="122">
        <f>5.47*70/55</f>
        <v>6.961818181818181</v>
      </c>
      <c r="I160" s="122">
        <f>0.28*60/55</f>
        <v>0.30545454545454548</v>
      </c>
      <c r="J160" s="122">
        <f>0.28*70/55</f>
        <v>0.35636363636363638</v>
      </c>
      <c r="K160" s="122">
        <f>99.4*60/55</f>
        <v>108.43636363636364</v>
      </c>
      <c r="L160" s="122">
        <f>99.4*70/55</f>
        <v>126.50909090909092</v>
      </c>
      <c r="M160" s="122">
        <f>1*60/55</f>
        <v>1.0909090909090908</v>
      </c>
      <c r="N160" s="122">
        <f>1*70/55</f>
        <v>1.2727272727272727</v>
      </c>
      <c r="O160" s="132" t="s">
        <v>329</v>
      </c>
      <c r="P160" s="65"/>
      <c r="Q160" s="65"/>
      <c r="R160" s="65"/>
      <c r="S160" s="65"/>
    </row>
    <row r="161" spans="1:21" s="66" customFormat="1" ht="13" customHeight="1" x14ac:dyDescent="0.3">
      <c r="A161" s="763"/>
      <c r="B161" s="92" t="s">
        <v>218</v>
      </c>
      <c r="C161" s="21">
        <v>150</v>
      </c>
      <c r="D161" s="21">
        <v>150</v>
      </c>
      <c r="E161" s="122">
        <v>3.13</v>
      </c>
      <c r="F161" s="122">
        <v>3.13</v>
      </c>
      <c r="G161" s="122">
        <v>5.56</v>
      </c>
      <c r="H161" s="122">
        <v>5.56</v>
      </c>
      <c r="I161" s="122">
        <v>14.38</v>
      </c>
      <c r="J161" s="122">
        <v>14.38</v>
      </c>
      <c r="K161" s="122">
        <v>120</v>
      </c>
      <c r="L161" s="122">
        <v>120</v>
      </c>
      <c r="M161" s="122">
        <v>24.99</v>
      </c>
      <c r="N161" s="122">
        <v>24.99</v>
      </c>
      <c r="O161" s="247">
        <v>132</v>
      </c>
      <c r="P161" s="65"/>
      <c r="Q161" s="65"/>
      <c r="R161" s="65"/>
      <c r="S161" s="65"/>
    </row>
    <row r="162" spans="1:21" s="66" customFormat="1" ht="13" customHeight="1" x14ac:dyDescent="0.3">
      <c r="A162" s="763"/>
      <c r="B162" s="92" t="s">
        <v>280</v>
      </c>
      <c r="C162" s="18">
        <v>150</v>
      </c>
      <c r="D162" s="18">
        <v>180</v>
      </c>
      <c r="E162" s="269">
        <f>2.2*150/1000</f>
        <v>0.33</v>
      </c>
      <c r="F162" s="122">
        <f>2.2*180/1000</f>
        <v>0.39600000000000007</v>
      </c>
      <c r="G162" s="122">
        <f>0.1*150/1000</f>
        <v>1.4999999999999999E-2</v>
      </c>
      <c r="H162" s="122">
        <f>0.1*180/1000</f>
        <v>1.7999999999999999E-2</v>
      </c>
      <c r="I162" s="122">
        <f>138.84*150/1000</f>
        <v>20.826000000000001</v>
      </c>
      <c r="J162" s="122">
        <f>138.84*180/1000</f>
        <v>24.991199999999999</v>
      </c>
      <c r="K162" s="122">
        <f>565*150/1000</f>
        <v>84.75</v>
      </c>
      <c r="L162" s="122">
        <f>565*180/1000</f>
        <v>101.7</v>
      </c>
      <c r="M162" s="122">
        <f>2*150/1000</f>
        <v>0.3</v>
      </c>
      <c r="N162" s="122">
        <f>2*180/1000</f>
        <v>0.36</v>
      </c>
      <c r="O162" s="247">
        <v>376</v>
      </c>
      <c r="P162" s="65"/>
      <c r="Q162" s="65"/>
      <c r="R162" s="65"/>
      <c r="S162" s="65"/>
    </row>
    <row r="163" spans="1:21" s="66" customFormat="1" ht="13" customHeight="1" x14ac:dyDescent="0.3">
      <c r="A163" s="763"/>
      <c r="B163" s="92" t="s">
        <v>155</v>
      </c>
      <c r="C163" s="119">
        <v>20</v>
      </c>
      <c r="D163" s="119">
        <v>25</v>
      </c>
      <c r="E163" s="269">
        <f>7.6*20/100</f>
        <v>1.52</v>
      </c>
      <c r="F163" s="122">
        <f>7.6*25/100</f>
        <v>1.9</v>
      </c>
      <c r="G163" s="122">
        <f>0.8*20/1000</f>
        <v>1.6E-2</v>
      </c>
      <c r="H163" s="122">
        <f>0.8*25/1000</f>
        <v>0.02</v>
      </c>
      <c r="I163" s="122">
        <f>49.2*20/100</f>
        <v>9.84</v>
      </c>
      <c r="J163" s="122">
        <f>49.2*25/100</f>
        <v>12.3</v>
      </c>
      <c r="K163" s="122">
        <f>235*20/100</f>
        <v>47</v>
      </c>
      <c r="L163" s="122">
        <f>235*25/100</f>
        <v>58.75</v>
      </c>
      <c r="M163" s="122">
        <v>0</v>
      </c>
      <c r="N163" s="122">
        <v>0</v>
      </c>
      <c r="O163" s="236" t="s">
        <v>277</v>
      </c>
      <c r="P163" s="65"/>
      <c r="Q163" s="65"/>
      <c r="R163" s="65"/>
      <c r="S163" s="65"/>
    </row>
    <row r="164" spans="1:21" s="66" customFormat="1" ht="13" customHeight="1" thickBot="1" x14ac:dyDescent="0.35">
      <c r="A164" s="769"/>
      <c r="B164" s="28" t="s">
        <v>162</v>
      </c>
      <c r="C164" s="23">
        <v>17</v>
      </c>
      <c r="D164" s="23">
        <v>21</v>
      </c>
      <c r="E164" s="282">
        <f>5.6*17/100</f>
        <v>0.95199999999999985</v>
      </c>
      <c r="F164" s="278">
        <f>5.6*21/100</f>
        <v>1.1759999999999999</v>
      </c>
      <c r="G164" s="278">
        <f>1.1*17/100</f>
        <v>0.18700000000000003</v>
      </c>
      <c r="H164" s="278">
        <f>1.1*21/100</f>
        <v>0.23100000000000001</v>
      </c>
      <c r="I164" s="278">
        <f>49.4*17/100</f>
        <v>8.3979999999999997</v>
      </c>
      <c r="J164" s="278">
        <f>49.4*17/100</f>
        <v>8.3979999999999997</v>
      </c>
      <c r="K164" s="278">
        <f>232*17/100</f>
        <v>39.44</v>
      </c>
      <c r="L164" s="278">
        <f>232*21/100</f>
        <v>48.72</v>
      </c>
      <c r="M164" s="278">
        <v>0</v>
      </c>
      <c r="N164" s="278">
        <v>0</v>
      </c>
      <c r="O164" s="283" t="s">
        <v>277</v>
      </c>
      <c r="P164" s="65"/>
      <c r="Q164" s="65"/>
      <c r="R164" s="65"/>
      <c r="S164" s="65"/>
    </row>
    <row r="165" spans="1:21" s="66" customFormat="1" ht="13" customHeight="1" x14ac:dyDescent="0.3">
      <c r="A165" s="733" t="s">
        <v>86</v>
      </c>
      <c r="B165" s="191" t="s">
        <v>296</v>
      </c>
      <c r="C165" s="120">
        <v>45</v>
      </c>
      <c r="D165" s="120">
        <v>60</v>
      </c>
      <c r="E165" s="249">
        <f>23.48*45/1000</f>
        <v>1.0566</v>
      </c>
      <c r="F165" s="249">
        <f>23.48*60/1000</f>
        <v>1.4088000000000001</v>
      </c>
      <c r="G165" s="249">
        <f>45.97*45/1000</f>
        <v>2.0686499999999999</v>
      </c>
      <c r="H165" s="249">
        <f>45.97*60/1000</f>
        <v>2.7582</v>
      </c>
      <c r="I165" s="249">
        <f>123.33*45/1000</f>
        <v>5.5498500000000002</v>
      </c>
      <c r="J165" s="249">
        <f>123.33*60/1000</f>
        <v>7.3997999999999999</v>
      </c>
      <c r="K165" s="249">
        <f>164/2</f>
        <v>82</v>
      </c>
      <c r="L165" s="249">
        <f>219/2</f>
        <v>109.5</v>
      </c>
      <c r="M165" s="249">
        <f>15.03/2</f>
        <v>7.5149999999999997</v>
      </c>
      <c r="N165" s="249">
        <f>20.03/2</f>
        <v>10.015000000000001</v>
      </c>
      <c r="O165" s="284">
        <v>54</v>
      </c>
      <c r="P165" s="65"/>
      <c r="Q165" s="65"/>
      <c r="R165" s="65"/>
      <c r="S165" s="65"/>
    </row>
    <row r="166" spans="1:21" s="66" customFormat="1" ht="13" customHeight="1" x14ac:dyDescent="0.3">
      <c r="A166" s="734"/>
      <c r="B166" s="92" t="s">
        <v>215</v>
      </c>
      <c r="C166" s="21">
        <v>155</v>
      </c>
      <c r="D166" s="21">
        <v>185</v>
      </c>
      <c r="E166" s="122">
        <v>18.59</v>
      </c>
      <c r="F166" s="122">
        <v>22.47</v>
      </c>
      <c r="G166" s="122">
        <v>7.4</v>
      </c>
      <c r="H166" s="122">
        <v>9.14</v>
      </c>
      <c r="I166" s="122">
        <v>20.51</v>
      </c>
      <c r="J166" s="122">
        <v>24.73</v>
      </c>
      <c r="K166" s="122">
        <v>223</v>
      </c>
      <c r="L166" s="122">
        <v>271</v>
      </c>
      <c r="M166" s="122">
        <v>8.7100000000000009</v>
      </c>
      <c r="N166" s="122">
        <v>10.45</v>
      </c>
      <c r="O166" s="247">
        <v>294</v>
      </c>
      <c r="P166" s="65"/>
      <c r="Q166" s="65"/>
      <c r="R166" s="65"/>
      <c r="S166" s="65"/>
    </row>
    <row r="167" spans="1:21" s="66" customFormat="1" ht="13" customHeight="1" x14ac:dyDescent="0.3">
      <c r="A167" s="734"/>
      <c r="B167" s="92" t="s">
        <v>288</v>
      </c>
      <c r="C167" s="21" t="s">
        <v>369</v>
      </c>
      <c r="D167" s="21" t="s">
        <v>370</v>
      </c>
      <c r="E167" s="21">
        <v>7.0000000000000007E-2</v>
      </c>
      <c r="F167" s="122">
        <v>0.12</v>
      </c>
      <c r="G167" s="122">
        <v>0.02</v>
      </c>
      <c r="H167" s="122">
        <v>0.02</v>
      </c>
      <c r="I167" s="122">
        <v>7.1</v>
      </c>
      <c r="J167" s="122">
        <v>10.199999999999999</v>
      </c>
      <c r="K167" s="256">
        <v>29</v>
      </c>
      <c r="L167" s="256">
        <v>41</v>
      </c>
      <c r="M167" s="122">
        <v>1.42</v>
      </c>
      <c r="N167" s="122">
        <v>2.83</v>
      </c>
      <c r="O167" s="236">
        <v>393</v>
      </c>
      <c r="P167" s="65"/>
      <c r="Q167" s="65"/>
      <c r="R167" s="65"/>
      <c r="S167" s="65"/>
    </row>
    <row r="168" spans="1:21" s="66" customFormat="1" ht="13" customHeight="1" thickBot="1" x14ac:dyDescent="0.35">
      <c r="A168" s="735"/>
      <c r="B168" s="28" t="s">
        <v>162</v>
      </c>
      <c r="C168" s="23">
        <v>17</v>
      </c>
      <c r="D168" s="23">
        <v>21</v>
      </c>
      <c r="E168" s="282">
        <f>5.6*17/100</f>
        <v>0.95199999999999985</v>
      </c>
      <c r="F168" s="278">
        <f>5.6*21/100</f>
        <v>1.1759999999999999</v>
      </c>
      <c r="G168" s="278">
        <f>1.1*17/100</f>
        <v>0.18700000000000003</v>
      </c>
      <c r="H168" s="278">
        <f>1.1*21/100</f>
        <v>0.23100000000000001</v>
      </c>
      <c r="I168" s="278">
        <f>49.4*17/100</f>
        <v>8.3979999999999997</v>
      </c>
      <c r="J168" s="278">
        <f>49.4*17/100</f>
        <v>8.3979999999999997</v>
      </c>
      <c r="K168" s="278">
        <f>232*17/100</f>
        <v>39.44</v>
      </c>
      <c r="L168" s="278">
        <f>232*21/100</f>
        <v>48.72</v>
      </c>
      <c r="M168" s="278">
        <v>0</v>
      </c>
      <c r="N168" s="278">
        <v>0</v>
      </c>
      <c r="O168" s="283" t="s">
        <v>277</v>
      </c>
      <c r="P168" s="65"/>
      <c r="Q168" s="65"/>
      <c r="R168" s="65"/>
      <c r="S168" s="65"/>
    </row>
    <row r="169" spans="1:21" s="66" customFormat="1" ht="13" customHeight="1" thickBot="1" x14ac:dyDescent="0.35">
      <c r="A169" s="108" t="s">
        <v>90</v>
      </c>
      <c r="B169" s="292"/>
      <c r="C169" s="307">
        <f>SUM(C153:C168)</f>
        <v>1198</v>
      </c>
      <c r="D169" s="308">
        <f>SUM(D153:D168)</f>
        <v>1597</v>
      </c>
      <c r="E169" s="105">
        <f>SUM(E153:E168)</f>
        <v>84.248491608391603</v>
      </c>
      <c r="F169" s="105">
        <f t="shared" ref="F169:N169" si="7">SUM(F153:F168)</f>
        <v>100.26428251748253</v>
      </c>
      <c r="G169" s="105">
        <f t="shared" si="7"/>
        <v>62.463126573426571</v>
      </c>
      <c r="H169" s="105">
        <f t="shared" si="7"/>
        <v>68.488772027972018</v>
      </c>
      <c r="I169" s="105">
        <f t="shared" si="7"/>
        <v>168.30698146853143</v>
      </c>
      <c r="J169" s="105">
        <f t="shared" si="7"/>
        <v>194.57074055944054</v>
      </c>
      <c r="K169" s="105">
        <f t="shared" si="7"/>
        <v>1541.6858508158509</v>
      </c>
      <c r="L169" s="105">
        <f t="shared" si="7"/>
        <v>1769.1085780885783</v>
      </c>
      <c r="M169" s="105">
        <f t="shared" si="7"/>
        <v>95.026870629370634</v>
      </c>
      <c r="N169" s="105">
        <f t="shared" si="7"/>
        <v>114.3986888111888</v>
      </c>
      <c r="O169" s="309"/>
      <c r="P169" s="65"/>
      <c r="Q169" s="65"/>
      <c r="R169" s="65"/>
      <c r="S169" s="65"/>
    </row>
    <row r="170" spans="1:21" s="66" customFormat="1" ht="13" customHeight="1" thickBot="1" x14ac:dyDescent="0.35">
      <c r="A170" s="108"/>
      <c r="B170" s="141"/>
      <c r="C170" s="142"/>
      <c r="D170" s="104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90"/>
      <c r="P170" s="65"/>
      <c r="Q170" s="65"/>
      <c r="R170" s="65"/>
      <c r="S170" s="65"/>
    </row>
    <row r="171" spans="1:21" s="66" customFormat="1" ht="13" customHeight="1" thickBot="1" x14ac:dyDescent="0.4">
      <c r="A171" s="736" t="s">
        <v>180</v>
      </c>
      <c r="B171" s="737"/>
      <c r="C171" s="737"/>
      <c r="D171" s="737"/>
      <c r="E171" s="737"/>
      <c r="F171" s="737"/>
      <c r="G171" s="737"/>
      <c r="H171" s="737"/>
      <c r="I171" s="737"/>
      <c r="J171" s="737"/>
      <c r="K171" s="737"/>
      <c r="L171" s="737"/>
      <c r="M171" s="737"/>
      <c r="N171" s="737"/>
      <c r="O171" s="738"/>
      <c r="P171" s="65"/>
      <c r="Q171" s="65"/>
      <c r="R171" s="65"/>
      <c r="S171" s="65"/>
    </row>
    <row r="172" spans="1:21" ht="13" customHeight="1" thickBot="1" x14ac:dyDescent="0.35">
      <c r="A172" s="743" t="s">
        <v>161</v>
      </c>
      <c r="B172" s="67" t="s">
        <v>74</v>
      </c>
      <c r="C172" s="766" t="s">
        <v>76</v>
      </c>
      <c r="D172" s="767"/>
      <c r="E172" s="754" t="s">
        <v>101</v>
      </c>
      <c r="F172" s="754"/>
      <c r="G172" s="754"/>
      <c r="H172" s="754"/>
      <c r="I172" s="754"/>
      <c r="J172" s="755"/>
      <c r="K172" s="739" t="s">
        <v>160</v>
      </c>
      <c r="L172" s="740"/>
      <c r="M172" s="739" t="s">
        <v>80</v>
      </c>
      <c r="N172" s="740"/>
      <c r="O172" s="746" t="s">
        <v>209</v>
      </c>
    </row>
    <row r="173" spans="1:21" ht="13" customHeight="1" thickBot="1" x14ac:dyDescent="0.35">
      <c r="A173" s="744"/>
      <c r="B173" s="69" t="s">
        <v>75</v>
      </c>
      <c r="C173" s="749" t="s">
        <v>75</v>
      </c>
      <c r="D173" s="750"/>
      <c r="E173" s="751" t="s">
        <v>77</v>
      </c>
      <c r="F173" s="752"/>
      <c r="G173" s="753" t="s">
        <v>78</v>
      </c>
      <c r="H173" s="752"/>
      <c r="I173" s="753" t="s">
        <v>79</v>
      </c>
      <c r="J173" s="752"/>
      <c r="K173" s="741"/>
      <c r="L173" s="742"/>
      <c r="M173" s="741"/>
      <c r="N173" s="742"/>
      <c r="O173" s="747"/>
      <c r="P173" s="55"/>
      <c r="Q173" s="55"/>
      <c r="R173" s="55"/>
      <c r="S173" s="55"/>
      <c r="T173" s="56"/>
      <c r="U173" s="56"/>
    </row>
    <row r="174" spans="1:21" ht="13" customHeight="1" thickBot="1" x14ac:dyDescent="0.35">
      <c r="A174" s="745"/>
      <c r="B174" s="72"/>
      <c r="C174" s="71" t="s">
        <v>158</v>
      </c>
      <c r="D174" s="71" t="s">
        <v>159</v>
      </c>
      <c r="E174" s="74" t="s">
        <v>158</v>
      </c>
      <c r="F174" s="74" t="s">
        <v>159</v>
      </c>
      <c r="G174" s="74" t="s">
        <v>158</v>
      </c>
      <c r="H174" s="74" t="s">
        <v>159</v>
      </c>
      <c r="I174" s="74" t="s">
        <v>158</v>
      </c>
      <c r="J174" s="74" t="s">
        <v>159</v>
      </c>
      <c r="K174" s="74" t="s">
        <v>158</v>
      </c>
      <c r="L174" s="74" t="s">
        <v>159</v>
      </c>
      <c r="M174" s="74" t="s">
        <v>158</v>
      </c>
      <c r="N174" s="74" t="s">
        <v>159</v>
      </c>
      <c r="O174" s="748"/>
    </row>
    <row r="175" spans="1:21" ht="13" customHeight="1" x14ac:dyDescent="0.3">
      <c r="A175" s="762" t="s">
        <v>81</v>
      </c>
      <c r="B175" s="27" t="s">
        <v>97</v>
      </c>
      <c r="C175" s="20">
        <v>160</v>
      </c>
      <c r="D175" s="20">
        <v>210</v>
      </c>
      <c r="E175" s="234">
        <v>3.31</v>
      </c>
      <c r="F175" s="234">
        <v>4.59</v>
      </c>
      <c r="G175" s="234">
        <v>3.95</v>
      </c>
      <c r="H175" s="234">
        <v>4.9000000000000004</v>
      </c>
      <c r="I175" s="234">
        <v>25.2</v>
      </c>
      <c r="J175" s="234">
        <v>31.26</v>
      </c>
      <c r="K175" s="234">
        <v>150</v>
      </c>
      <c r="L175" s="234">
        <v>187</v>
      </c>
      <c r="M175" s="234">
        <v>0</v>
      </c>
      <c r="N175" s="234">
        <v>0</v>
      </c>
      <c r="O175" s="271">
        <v>185</v>
      </c>
    </row>
    <row r="176" spans="1:21" ht="13" customHeight="1" x14ac:dyDescent="0.3">
      <c r="A176" s="763"/>
      <c r="B176" s="92" t="s">
        <v>216</v>
      </c>
      <c r="C176" s="127" t="s">
        <v>302</v>
      </c>
      <c r="D176" s="127" t="s">
        <v>303</v>
      </c>
      <c r="E176" s="122">
        <v>4.16</v>
      </c>
      <c r="F176" s="122">
        <v>4.6100000000000003</v>
      </c>
      <c r="G176" s="122">
        <v>6.64</v>
      </c>
      <c r="H176" s="122">
        <v>6.66</v>
      </c>
      <c r="I176" s="122">
        <v>12.4</v>
      </c>
      <c r="J176" s="122">
        <v>15.49</v>
      </c>
      <c r="K176" s="122">
        <v>131.88</v>
      </c>
      <c r="L176" s="122">
        <v>147.6</v>
      </c>
      <c r="M176" s="122">
        <v>7.0000000000000007E-2</v>
      </c>
      <c r="N176" s="122">
        <v>7.0000000000000007E-2</v>
      </c>
      <c r="O176" s="258">
        <v>3</v>
      </c>
    </row>
    <row r="177" spans="1:21" s="66" customFormat="1" ht="13" customHeight="1" thickBot="1" x14ac:dyDescent="0.35">
      <c r="A177" s="764"/>
      <c r="B177" s="28" t="s">
        <v>53</v>
      </c>
      <c r="C177" s="23">
        <v>150</v>
      </c>
      <c r="D177" s="23">
        <v>180</v>
      </c>
      <c r="E177" s="278">
        <v>3.15</v>
      </c>
      <c r="F177" s="278">
        <v>3.67</v>
      </c>
      <c r="G177" s="278">
        <v>2.72</v>
      </c>
      <c r="H177" s="278">
        <v>3.19</v>
      </c>
      <c r="I177" s="278">
        <v>12.96</v>
      </c>
      <c r="J177" s="278">
        <v>15.82</v>
      </c>
      <c r="K177" s="278">
        <v>89</v>
      </c>
      <c r="L177" s="278">
        <v>107</v>
      </c>
      <c r="M177" s="278">
        <v>1.2</v>
      </c>
      <c r="N177" s="278">
        <v>1.43</v>
      </c>
      <c r="O177" s="283">
        <v>397</v>
      </c>
      <c r="P177" s="65"/>
      <c r="Q177" s="65"/>
      <c r="R177" s="65"/>
      <c r="S177" s="65"/>
    </row>
    <row r="178" spans="1:21" s="66" customFormat="1" ht="13" customHeight="1" thickBot="1" x14ac:dyDescent="0.35">
      <c r="A178" s="128" t="s">
        <v>83</v>
      </c>
      <c r="B178" s="299" t="s">
        <v>115</v>
      </c>
      <c r="C178" s="300">
        <v>100</v>
      </c>
      <c r="D178" s="298">
        <v>100</v>
      </c>
      <c r="E178" s="301">
        <v>0.4</v>
      </c>
      <c r="F178" s="302">
        <v>0.4</v>
      </c>
      <c r="G178" s="303">
        <v>0.4</v>
      </c>
      <c r="H178" s="302">
        <v>0.4</v>
      </c>
      <c r="I178" s="303">
        <v>9.8000000000000007</v>
      </c>
      <c r="J178" s="302">
        <v>9.8000000000000007</v>
      </c>
      <c r="K178" s="304">
        <v>44</v>
      </c>
      <c r="L178" s="305">
        <v>44</v>
      </c>
      <c r="M178" s="303">
        <v>10</v>
      </c>
      <c r="N178" s="302">
        <v>10</v>
      </c>
      <c r="O178" s="306">
        <v>368</v>
      </c>
      <c r="P178" s="65"/>
      <c r="Q178" s="65"/>
      <c r="R178" s="65"/>
      <c r="S178" s="65"/>
    </row>
    <row r="179" spans="1:21" s="66" customFormat="1" ht="13" customHeight="1" x14ac:dyDescent="0.3">
      <c r="A179" s="762" t="s">
        <v>85</v>
      </c>
      <c r="B179" s="27" t="s">
        <v>373</v>
      </c>
      <c r="C179" s="17">
        <v>45</v>
      </c>
      <c r="D179" s="17">
        <v>60</v>
      </c>
      <c r="E179" s="234">
        <f>13.03*45/1000</f>
        <v>0.58635000000000004</v>
      </c>
      <c r="F179" s="234">
        <f>13.03*60/1000</f>
        <v>0.78179999999999994</v>
      </c>
      <c r="G179" s="234">
        <f>41.33*45/1000</f>
        <v>1.85985</v>
      </c>
      <c r="H179" s="234">
        <f>41.33*60/1000</f>
        <v>2.4797999999999996</v>
      </c>
      <c r="I179" s="234">
        <f>71.57*45/1000</f>
        <v>3.2206499999999996</v>
      </c>
      <c r="J179" s="234">
        <f>71.58*60/1000</f>
        <v>4.2948000000000004</v>
      </c>
      <c r="K179" s="234">
        <f>710*45/1000</f>
        <v>31.95</v>
      </c>
      <c r="L179" s="234">
        <f>710*60/1000</f>
        <v>42.6</v>
      </c>
      <c r="M179" s="234">
        <f>43.68*45/1000</f>
        <v>1.9656</v>
      </c>
      <c r="N179" s="234">
        <f>43.68*60/1000</f>
        <v>2.6208</v>
      </c>
      <c r="O179" s="271">
        <v>55</v>
      </c>
      <c r="P179" s="65"/>
      <c r="Q179" s="65"/>
      <c r="R179" s="65"/>
      <c r="S179" s="65"/>
    </row>
    <row r="180" spans="1:21" s="66" customFormat="1" ht="13" customHeight="1" x14ac:dyDescent="0.3">
      <c r="A180" s="763"/>
      <c r="B180" s="155" t="s">
        <v>330</v>
      </c>
      <c r="C180" s="21">
        <v>230</v>
      </c>
      <c r="D180" s="21">
        <v>285</v>
      </c>
      <c r="E180" s="122">
        <f>14.18*200/1000</f>
        <v>2.8359999999999999</v>
      </c>
      <c r="F180" s="122">
        <f>14.18*250/1000</f>
        <v>3.5449999999999999</v>
      </c>
      <c r="G180" s="122">
        <f>20.4*200/1000</f>
        <v>4.0799999999999992</v>
      </c>
      <c r="H180" s="122">
        <f>20.4*250/1000</f>
        <v>5.0999999999999996</v>
      </c>
      <c r="I180" s="122">
        <f>58.12*200/1000+40</f>
        <v>51.624000000000002</v>
      </c>
      <c r="J180" s="122">
        <f>58.12*200/1000+40</f>
        <v>51.624000000000002</v>
      </c>
      <c r="K180" s="122">
        <f>473*200/1000</f>
        <v>94.6</v>
      </c>
      <c r="L180" s="122">
        <f>473*200/1000</f>
        <v>94.6</v>
      </c>
      <c r="M180" s="122">
        <f>25.15*200/1000</f>
        <v>5.03</v>
      </c>
      <c r="N180" s="122">
        <f>25.15*200/1000</f>
        <v>5.03</v>
      </c>
      <c r="O180" s="247">
        <v>63</v>
      </c>
      <c r="P180" s="65"/>
      <c r="Q180" s="65"/>
      <c r="R180" s="65"/>
      <c r="S180" s="65"/>
    </row>
    <row r="181" spans="1:21" s="66" customFormat="1" ht="13" customHeight="1" x14ac:dyDescent="0.3">
      <c r="A181" s="763"/>
      <c r="B181" s="92" t="s">
        <v>220</v>
      </c>
      <c r="C181" s="21">
        <v>170</v>
      </c>
      <c r="D181" s="21">
        <v>170</v>
      </c>
      <c r="E181" s="122">
        <v>16.2</v>
      </c>
      <c r="F181" s="122">
        <v>16.2</v>
      </c>
      <c r="G181" s="122">
        <v>13.28</v>
      </c>
      <c r="H181" s="122">
        <v>13.28</v>
      </c>
      <c r="I181" s="122">
        <v>11.03</v>
      </c>
      <c r="J181" s="122">
        <v>11.03</v>
      </c>
      <c r="K181" s="122">
        <v>228</v>
      </c>
      <c r="L181" s="122">
        <v>228</v>
      </c>
      <c r="M181" s="122">
        <v>3.71</v>
      </c>
      <c r="N181" s="122">
        <v>3.71</v>
      </c>
      <c r="O181" s="247">
        <v>274</v>
      </c>
      <c r="P181" s="65"/>
      <c r="Q181" s="65"/>
      <c r="R181" s="65"/>
      <c r="S181" s="65"/>
    </row>
    <row r="182" spans="1:21" s="66" customFormat="1" ht="13" customHeight="1" x14ac:dyDescent="0.3">
      <c r="A182" s="763"/>
      <c r="B182" s="92" t="s">
        <v>226</v>
      </c>
      <c r="C182" s="21">
        <v>150</v>
      </c>
      <c r="D182" s="21">
        <v>180</v>
      </c>
      <c r="E182" s="122">
        <f>0.63*150/1000</f>
        <v>9.4500000000000001E-2</v>
      </c>
      <c r="F182" s="122">
        <f>0.63*180/1000</f>
        <v>0.1134</v>
      </c>
      <c r="G182" s="122">
        <f>0.2*150/1000</f>
        <v>0.03</v>
      </c>
      <c r="H182" s="122">
        <f>0.5*180/1000</f>
        <v>0.09</v>
      </c>
      <c r="I182" s="122">
        <f>135.06*150/1000</f>
        <v>20.259</v>
      </c>
      <c r="J182" s="122">
        <f>135.06*180/1000</f>
        <v>24.3108</v>
      </c>
      <c r="K182" s="122">
        <f>547*150/1000</f>
        <v>82.05</v>
      </c>
      <c r="L182" s="122">
        <f>547*180/1000</f>
        <v>98.46</v>
      </c>
      <c r="M182" s="122">
        <f>9.15*150/1000</f>
        <v>1.3725000000000001</v>
      </c>
      <c r="N182" s="122">
        <f>9.15*180/1000</f>
        <v>1.647</v>
      </c>
      <c r="O182" s="247">
        <v>378</v>
      </c>
      <c r="P182" s="65"/>
      <c r="Q182" s="65"/>
      <c r="R182" s="65"/>
      <c r="S182" s="65"/>
    </row>
    <row r="183" spans="1:21" s="66" customFormat="1" ht="13" customHeight="1" x14ac:dyDescent="0.3">
      <c r="A183" s="763"/>
      <c r="B183" s="92" t="s">
        <v>155</v>
      </c>
      <c r="C183" s="119">
        <v>20</v>
      </c>
      <c r="D183" s="119">
        <v>25</v>
      </c>
      <c r="E183" s="269">
        <f>7.6*20/100</f>
        <v>1.52</v>
      </c>
      <c r="F183" s="122">
        <f>7.6*25/100</f>
        <v>1.9</v>
      </c>
      <c r="G183" s="122">
        <f>0.8*20/1000</f>
        <v>1.6E-2</v>
      </c>
      <c r="H183" s="122">
        <f>0.8*25/1000</f>
        <v>0.02</v>
      </c>
      <c r="I183" s="122">
        <f>49.2*20/100</f>
        <v>9.84</v>
      </c>
      <c r="J183" s="122">
        <f>49.2*25/100</f>
        <v>12.3</v>
      </c>
      <c r="K183" s="122">
        <f>235*20/100</f>
        <v>47</v>
      </c>
      <c r="L183" s="122">
        <f>235*25/100</f>
        <v>58.75</v>
      </c>
      <c r="M183" s="122">
        <v>0</v>
      </c>
      <c r="N183" s="122">
        <v>0</v>
      </c>
      <c r="O183" s="236" t="s">
        <v>277</v>
      </c>
      <c r="P183" s="65"/>
      <c r="Q183" s="65"/>
      <c r="R183" s="65"/>
      <c r="S183" s="65"/>
    </row>
    <row r="184" spans="1:21" s="66" customFormat="1" ht="13" customHeight="1" thickBot="1" x14ac:dyDescent="0.35">
      <c r="A184" s="768"/>
      <c r="B184" s="28" t="s">
        <v>162</v>
      </c>
      <c r="C184" s="23">
        <v>17</v>
      </c>
      <c r="D184" s="23">
        <v>21</v>
      </c>
      <c r="E184" s="282">
        <f>5.6*17/100</f>
        <v>0.95199999999999985</v>
      </c>
      <c r="F184" s="278">
        <f>5.6*21/100</f>
        <v>1.1759999999999999</v>
      </c>
      <c r="G184" s="278">
        <f>1.1*17/100</f>
        <v>0.18700000000000003</v>
      </c>
      <c r="H184" s="278">
        <f>1.1*21/100</f>
        <v>0.23100000000000001</v>
      </c>
      <c r="I184" s="278">
        <f>49.4*17/100</f>
        <v>8.3979999999999997</v>
      </c>
      <c r="J184" s="278">
        <f>49.4*17/100</f>
        <v>8.3979999999999997</v>
      </c>
      <c r="K184" s="278">
        <f>232*17/100</f>
        <v>39.44</v>
      </c>
      <c r="L184" s="278">
        <f>232*21/100</f>
        <v>48.72</v>
      </c>
      <c r="M184" s="278">
        <v>0</v>
      </c>
      <c r="N184" s="278">
        <v>0</v>
      </c>
      <c r="O184" s="283" t="s">
        <v>277</v>
      </c>
      <c r="P184" s="65"/>
      <c r="Q184" s="65"/>
      <c r="R184" s="65"/>
      <c r="S184" s="65"/>
    </row>
    <row r="185" spans="1:21" s="66" customFormat="1" ht="13" customHeight="1" x14ac:dyDescent="0.3">
      <c r="A185" s="771" t="s">
        <v>86</v>
      </c>
      <c r="B185" s="191" t="s">
        <v>334</v>
      </c>
      <c r="C185" s="120">
        <v>65</v>
      </c>
      <c r="D185" s="120">
        <v>130</v>
      </c>
      <c r="E185" s="249">
        <v>7.35</v>
      </c>
      <c r="F185" s="249">
        <v>14.73</v>
      </c>
      <c r="G185" s="249">
        <v>4.72</v>
      </c>
      <c r="H185" s="249">
        <v>9.94</v>
      </c>
      <c r="I185" s="249">
        <v>9.9600000000000009</v>
      </c>
      <c r="J185" s="249">
        <v>18.93</v>
      </c>
      <c r="K185" s="249">
        <v>112</v>
      </c>
      <c r="L185" s="249">
        <v>224</v>
      </c>
      <c r="M185" s="249">
        <v>0.1</v>
      </c>
      <c r="N185" s="249">
        <v>0.19</v>
      </c>
      <c r="O185" s="284">
        <v>236</v>
      </c>
      <c r="P185" s="65"/>
      <c r="Q185" s="65"/>
      <c r="R185" s="65"/>
      <c r="S185" s="65"/>
    </row>
    <row r="186" spans="1:21" s="66" customFormat="1" ht="13" customHeight="1" x14ac:dyDescent="0.3">
      <c r="A186" s="734"/>
      <c r="B186" s="152" t="s">
        <v>50</v>
      </c>
      <c r="C186" s="148">
        <v>150</v>
      </c>
      <c r="D186" s="148">
        <v>180</v>
      </c>
      <c r="E186" s="122">
        <v>2.65</v>
      </c>
      <c r="F186" s="122">
        <v>2.67</v>
      </c>
      <c r="G186" s="122">
        <v>2.33</v>
      </c>
      <c r="H186" s="122">
        <v>2.34</v>
      </c>
      <c r="I186" s="122">
        <v>11.31</v>
      </c>
      <c r="J186" s="122">
        <v>14.31</v>
      </c>
      <c r="K186" s="122">
        <v>77</v>
      </c>
      <c r="L186" s="122">
        <v>89</v>
      </c>
      <c r="M186" s="122">
        <v>1.19</v>
      </c>
      <c r="N186" s="122">
        <v>1.2</v>
      </c>
      <c r="O186" s="236">
        <v>394</v>
      </c>
      <c r="P186" s="65"/>
      <c r="Q186" s="65"/>
      <c r="R186" s="65"/>
      <c r="S186" s="65"/>
    </row>
    <row r="187" spans="1:21" s="66" customFormat="1" ht="13" customHeight="1" thickBot="1" x14ac:dyDescent="0.35">
      <c r="A187" s="735"/>
      <c r="B187" s="28" t="s">
        <v>162</v>
      </c>
      <c r="C187" s="23">
        <v>17</v>
      </c>
      <c r="D187" s="23">
        <v>21</v>
      </c>
      <c r="E187" s="282">
        <f>5.6*17/100</f>
        <v>0.95199999999999985</v>
      </c>
      <c r="F187" s="278">
        <f>5.6*21/100</f>
        <v>1.1759999999999999</v>
      </c>
      <c r="G187" s="278">
        <f>1.1*17/100</f>
        <v>0.18700000000000003</v>
      </c>
      <c r="H187" s="278">
        <f>1.1*21/100</f>
        <v>0.23100000000000001</v>
      </c>
      <c r="I187" s="278">
        <f>49.4*17/100</f>
        <v>8.3979999999999997</v>
      </c>
      <c r="J187" s="278">
        <f>49.4*17/100</f>
        <v>8.3979999999999997</v>
      </c>
      <c r="K187" s="278">
        <f>232*17/100</f>
        <v>39.44</v>
      </c>
      <c r="L187" s="278">
        <f>232*21/100</f>
        <v>48.72</v>
      </c>
      <c r="M187" s="278">
        <v>0</v>
      </c>
      <c r="N187" s="278">
        <v>0</v>
      </c>
      <c r="O187" s="283" t="s">
        <v>277</v>
      </c>
      <c r="P187" s="65"/>
      <c r="Q187" s="65"/>
      <c r="R187" s="65"/>
      <c r="S187" s="65"/>
    </row>
    <row r="188" spans="1:21" s="66" customFormat="1" ht="13" customHeight="1" thickBot="1" x14ac:dyDescent="0.35">
      <c r="A188" s="100" t="s">
        <v>90</v>
      </c>
      <c r="B188" s="292"/>
      <c r="C188" s="297">
        <f>SUM(C175:C187)</f>
        <v>1274</v>
      </c>
      <c r="D188" s="298">
        <f>SUM(D175:D187)</f>
        <v>1562</v>
      </c>
      <c r="E188" s="103">
        <f>SUM(E175:E187)</f>
        <v>44.160849999999996</v>
      </c>
      <c r="F188" s="103">
        <f t="shared" ref="F188:N188" si="8">SUM(F175:F187)</f>
        <v>55.562200000000004</v>
      </c>
      <c r="G188" s="103">
        <f t="shared" si="8"/>
        <v>40.399849999999994</v>
      </c>
      <c r="H188" s="103">
        <f t="shared" si="8"/>
        <v>48.861800000000009</v>
      </c>
      <c r="I188" s="103">
        <f t="shared" si="8"/>
        <v>194.39965000000001</v>
      </c>
      <c r="J188" s="103">
        <f t="shared" si="8"/>
        <v>225.96560000000002</v>
      </c>
      <c r="K188" s="103">
        <f t="shared" si="8"/>
        <v>1166.3599999999999</v>
      </c>
      <c r="L188" s="103">
        <f t="shared" si="8"/>
        <v>1418.45</v>
      </c>
      <c r="M188" s="103">
        <f t="shared" si="8"/>
        <v>24.638100000000001</v>
      </c>
      <c r="N188" s="103">
        <f t="shared" si="8"/>
        <v>25.8978</v>
      </c>
      <c r="O188" s="280"/>
      <c r="P188" s="65"/>
      <c r="Q188" s="65"/>
      <c r="R188" s="65"/>
      <c r="S188" s="65"/>
    </row>
    <row r="189" spans="1:21" s="66" customFormat="1" ht="13" customHeight="1" thickBot="1" x14ac:dyDescent="0.4">
      <c r="A189" s="736" t="s">
        <v>181</v>
      </c>
      <c r="B189" s="737"/>
      <c r="C189" s="737"/>
      <c r="D189" s="737"/>
      <c r="E189" s="737"/>
      <c r="F189" s="737"/>
      <c r="G189" s="737"/>
      <c r="H189" s="737"/>
      <c r="I189" s="737"/>
      <c r="J189" s="737"/>
      <c r="K189" s="737"/>
      <c r="L189" s="737"/>
      <c r="M189" s="737"/>
      <c r="N189" s="737"/>
      <c r="O189" s="738"/>
      <c r="P189" s="65"/>
      <c r="Q189" s="65"/>
      <c r="R189" s="65"/>
      <c r="S189" s="65"/>
    </row>
    <row r="190" spans="1:21" ht="13" customHeight="1" thickBot="1" x14ac:dyDescent="0.35">
      <c r="A190" s="743" t="s">
        <v>161</v>
      </c>
      <c r="B190" s="67" t="s">
        <v>74</v>
      </c>
      <c r="C190" s="781" t="s">
        <v>76</v>
      </c>
      <c r="D190" s="767"/>
      <c r="E190" s="756" t="s">
        <v>101</v>
      </c>
      <c r="F190" s="754"/>
      <c r="G190" s="754"/>
      <c r="H190" s="754"/>
      <c r="I190" s="754"/>
      <c r="J190" s="755"/>
      <c r="K190" s="739" t="s">
        <v>160</v>
      </c>
      <c r="L190" s="740"/>
      <c r="M190" s="739" t="s">
        <v>80</v>
      </c>
      <c r="N190" s="740"/>
      <c r="O190" s="746" t="s">
        <v>209</v>
      </c>
    </row>
    <row r="191" spans="1:21" ht="13" customHeight="1" thickBot="1" x14ac:dyDescent="0.35">
      <c r="A191" s="744"/>
      <c r="B191" s="69" t="s">
        <v>75</v>
      </c>
      <c r="C191" s="761" t="s">
        <v>75</v>
      </c>
      <c r="D191" s="750"/>
      <c r="E191" s="753" t="s">
        <v>77</v>
      </c>
      <c r="F191" s="752"/>
      <c r="G191" s="753" t="s">
        <v>78</v>
      </c>
      <c r="H191" s="752"/>
      <c r="I191" s="753" t="s">
        <v>79</v>
      </c>
      <c r="J191" s="752"/>
      <c r="K191" s="741"/>
      <c r="L191" s="742"/>
      <c r="M191" s="741"/>
      <c r="N191" s="742"/>
      <c r="O191" s="747"/>
      <c r="P191" s="55"/>
      <c r="Q191" s="55"/>
      <c r="R191" s="55"/>
      <c r="S191" s="55"/>
      <c r="T191" s="56"/>
      <c r="U191" s="56"/>
    </row>
    <row r="192" spans="1:21" ht="13" customHeight="1" thickBot="1" x14ac:dyDescent="0.35">
      <c r="A192" s="744"/>
      <c r="B192" s="70"/>
      <c r="C192" s="71" t="s">
        <v>158</v>
      </c>
      <c r="D192" s="71" t="s">
        <v>159</v>
      </c>
      <c r="E192" s="74" t="s">
        <v>158</v>
      </c>
      <c r="F192" s="74" t="s">
        <v>159</v>
      </c>
      <c r="G192" s="74" t="s">
        <v>158</v>
      </c>
      <c r="H192" s="74" t="s">
        <v>159</v>
      </c>
      <c r="I192" s="74" t="s">
        <v>158</v>
      </c>
      <c r="J192" s="74" t="s">
        <v>159</v>
      </c>
      <c r="K192" s="74" t="s">
        <v>158</v>
      </c>
      <c r="L192" s="74" t="s">
        <v>159</v>
      </c>
      <c r="M192" s="74" t="s">
        <v>158</v>
      </c>
      <c r="N192" s="74" t="s">
        <v>159</v>
      </c>
      <c r="O192" s="748"/>
    </row>
    <row r="193" spans="1:19" ht="13" customHeight="1" x14ac:dyDescent="0.3">
      <c r="A193" s="762" t="s">
        <v>81</v>
      </c>
      <c r="B193" s="27" t="s">
        <v>331</v>
      </c>
      <c r="C193" s="20">
        <v>150</v>
      </c>
      <c r="D193" s="20">
        <v>200</v>
      </c>
      <c r="E193" s="234">
        <v>3.69</v>
      </c>
      <c r="F193" s="234">
        <v>4.91</v>
      </c>
      <c r="G193" s="234">
        <v>5.4</v>
      </c>
      <c r="H193" s="234">
        <v>6</v>
      </c>
      <c r="I193" s="234">
        <v>22.56</v>
      </c>
      <c r="J193" s="234">
        <v>28.41</v>
      </c>
      <c r="K193" s="234">
        <v>154</v>
      </c>
      <c r="L193" s="234">
        <v>187</v>
      </c>
      <c r="M193" s="234">
        <v>0</v>
      </c>
      <c r="N193" s="234">
        <v>0</v>
      </c>
      <c r="O193" s="271">
        <v>185</v>
      </c>
    </row>
    <row r="194" spans="1:19" ht="13" customHeight="1" x14ac:dyDescent="0.3">
      <c r="A194" s="763"/>
      <c r="B194" s="92" t="s">
        <v>216</v>
      </c>
      <c r="C194" s="127" t="s">
        <v>302</v>
      </c>
      <c r="D194" s="127" t="s">
        <v>303</v>
      </c>
      <c r="E194" s="122">
        <v>4.16</v>
      </c>
      <c r="F194" s="122">
        <v>4.6100000000000003</v>
      </c>
      <c r="G194" s="122">
        <v>6.64</v>
      </c>
      <c r="H194" s="122">
        <v>6.66</v>
      </c>
      <c r="I194" s="122">
        <v>12.4</v>
      </c>
      <c r="J194" s="122">
        <v>15.49</v>
      </c>
      <c r="K194" s="122">
        <v>131.88</v>
      </c>
      <c r="L194" s="122">
        <v>147.6</v>
      </c>
      <c r="M194" s="122">
        <v>7.0000000000000007E-2</v>
      </c>
      <c r="N194" s="122">
        <v>7.0000000000000007E-2</v>
      </c>
      <c r="O194" s="258">
        <v>3</v>
      </c>
    </row>
    <row r="195" spans="1:19" s="66" customFormat="1" ht="13" customHeight="1" thickBot="1" x14ac:dyDescent="0.35">
      <c r="A195" s="764"/>
      <c r="B195" s="294" t="s">
        <v>50</v>
      </c>
      <c r="C195" s="295">
        <v>150</v>
      </c>
      <c r="D195" s="295">
        <v>180</v>
      </c>
      <c r="E195" s="278">
        <v>2.65</v>
      </c>
      <c r="F195" s="278">
        <v>2.67</v>
      </c>
      <c r="G195" s="278">
        <v>2.33</v>
      </c>
      <c r="H195" s="278">
        <v>2.34</v>
      </c>
      <c r="I195" s="278">
        <v>11.31</v>
      </c>
      <c r="J195" s="278">
        <v>14.31</v>
      </c>
      <c r="K195" s="278">
        <v>77</v>
      </c>
      <c r="L195" s="278">
        <v>89</v>
      </c>
      <c r="M195" s="278">
        <v>1.19</v>
      </c>
      <c r="N195" s="278">
        <v>1.2</v>
      </c>
      <c r="O195" s="283">
        <v>394</v>
      </c>
    </row>
    <row r="196" spans="1:19" s="66" customFormat="1" ht="13" customHeight="1" thickBot="1" x14ac:dyDescent="0.35">
      <c r="A196" s="128" t="s">
        <v>83</v>
      </c>
      <c r="B196" s="113" t="s">
        <v>212</v>
      </c>
      <c r="C196" s="137" t="s">
        <v>205</v>
      </c>
      <c r="D196" s="137" t="s">
        <v>205</v>
      </c>
      <c r="E196" s="296">
        <f>0.45*200/150</f>
        <v>0.6</v>
      </c>
      <c r="F196" s="296">
        <f>0.45*200/150</f>
        <v>0.6</v>
      </c>
      <c r="G196" s="296">
        <f>0.15*200/150</f>
        <v>0.2</v>
      </c>
      <c r="H196" s="296">
        <f>0.15*200/150</f>
        <v>0.2</v>
      </c>
      <c r="I196" s="296">
        <f>22.8*200/150</f>
        <v>30.4</v>
      </c>
      <c r="J196" s="296">
        <f>22.8*200/150</f>
        <v>30.4</v>
      </c>
      <c r="K196" s="296">
        <f>94*200/150</f>
        <v>125.33333333333333</v>
      </c>
      <c r="L196" s="296">
        <f>94*200/150</f>
        <v>125.33333333333333</v>
      </c>
      <c r="M196" s="296">
        <f>6*200/150</f>
        <v>8</v>
      </c>
      <c r="N196" s="296">
        <f>6*200/150</f>
        <v>8</v>
      </c>
      <c r="O196" s="118">
        <v>399</v>
      </c>
      <c r="P196" s="65"/>
      <c r="Q196" s="65"/>
      <c r="R196" s="65"/>
      <c r="S196" s="65"/>
    </row>
    <row r="197" spans="1:19" s="66" customFormat="1" ht="13" customHeight="1" x14ac:dyDescent="0.3">
      <c r="A197" s="770" t="s">
        <v>85</v>
      </c>
      <c r="B197" s="27" t="s">
        <v>332</v>
      </c>
      <c r="C197" s="20">
        <v>45</v>
      </c>
      <c r="D197" s="20">
        <v>60</v>
      </c>
      <c r="E197" s="234">
        <f>9.84*45/1000</f>
        <v>0.44280000000000003</v>
      </c>
      <c r="F197" s="234">
        <f>9.84*60/1000</f>
        <v>0.59039999999999992</v>
      </c>
      <c r="G197" s="234">
        <f>61.5*45/1000</f>
        <v>2.7675000000000001</v>
      </c>
      <c r="H197" s="234">
        <f>61.5*60/1000</f>
        <v>3.69</v>
      </c>
      <c r="I197" s="234">
        <f>37.32*45/1000</f>
        <v>1.6794</v>
      </c>
      <c r="J197" s="234">
        <f>37.32*60/1000</f>
        <v>2.2391999999999999</v>
      </c>
      <c r="K197" s="234">
        <f>742*45/1000</f>
        <v>33.39</v>
      </c>
      <c r="L197" s="234">
        <f>742*60/1000</f>
        <v>44.52</v>
      </c>
      <c r="M197" s="234">
        <f>167.6*45/1000</f>
        <v>7.5419999999999998</v>
      </c>
      <c r="N197" s="234">
        <f>167.6*60/1000</f>
        <v>10.055999999999999</v>
      </c>
      <c r="O197" s="271">
        <v>15</v>
      </c>
      <c r="P197" s="65"/>
      <c r="Q197" s="65"/>
      <c r="R197" s="65"/>
      <c r="S197" s="65"/>
    </row>
    <row r="198" spans="1:19" s="66" customFormat="1" ht="13" customHeight="1" x14ac:dyDescent="0.3">
      <c r="A198" s="763"/>
      <c r="B198" s="92" t="s">
        <v>202</v>
      </c>
      <c r="C198" s="21">
        <v>210</v>
      </c>
      <c r="D198" s="21">
        <v>260</v>
      </c>
      <c r="E198" s="122">
        <f>8.85*200/1000+0.24</f>
        <v>2.0099999999999998</v>
      </c>
      <c r="F198" s="122">
        <f>8.85*250/1000+0.24</f>
        <v>2.4524999999999997</v>
      </c>
      <c r="G198" s="122">
        <f>20.27*200/1000</f>
        <v>4.0540000000000003</v>
      </c>
      <c r="H198" s="122">
        <f>20.27*250/1000</f>
        <v>5.0674999999999999</v>
      </c>
      <c r="I198" s="122">
        <f>47.69*200/1000+0.32</f>
        <v>9.8580000000000005</v>
      </c>
      <c r="J198" s="122">
        <f>47.69*250/1000+0.32</f>
        <v>12.2425</v>
      </c>
      <c r="K198" s="122">
        <f>669*200/1000</f>
        <v>133.80000000000001</v>
      </c>
      <c r="L198" s="122">
        <f>669*250/1000</f>
        <v>167.25</v>
      </c>
      <c r="M198" s="122">
        <f>36.45*200/1000+0.03</f>
        <v>7.3200000000000012</v>
      </c>
      <c r="N198" s="122">
        <f>36.45*200/1000+0.03</f>
        <v>7.3200000000000012</v>
      </c>
      <c r="O198" s="247">
        <v>86</v>
      </c>
      <c r="P198" s="65"/>
      <c r="Q198" s="65"/>
      <c r="R198" s="65"/>
      <c r="S198" s="65"/>
    </row>
    <row r="199" spans="1:19" s="66" customFormat="1" ht="13" customHeight="1" x14ac:dyDescent="0.3">
      <c r="A199" s="763"/>
      <c r="B199" s="92" t="s">
        <v>237</v>
      </c>
      <c r="C199" s="21">
        <v>75</v>
      </c>
      <c r="D199" s="21">
        <v>75</v>
      </c>
      <c r="E199" s="122">
        <v>9.32</v>
      </c>
      <c r="F199" s="122">
        <v>9.32</v>
      </c>
      <c r="G199" s="122">
        <v>7.07</v>
      </c>
      <c r="H199" s="122">
        <v>7.07</v>
      </c>
      <c r="I199" s="122">
        <v>9.64</v>
      </c>
      <c r="J199" s="122">
        <v>9.64</v>
      </c>
      <c r="K199" s="122">
        <v>139</v>
      </c>
      <c r="L199" s="122">
        <v>139</v>
      </c>
      <c r="M199" s="122">
        <v>0.09</v>
      </c>
      <c r="N199" s="122">
        <v>0.09</v>
      </c>
      <c r="O199" s="247">
        <v>282</v>
      </c>
      <c r="P199" s="65"/>
      <c r="Q199" s="65"/>
      <c r="R199" s="65"/>
      <c r="S199" s="65"/>
    </row>
    <row r="200" spans="1:19" s="66" customFormat="1" ht="13" customHeight="1" x14ac:dyDescent="0.3">
      <c r="A200" s="763"/>
      <c r="B200" s="92" t="s">
        <v>98</v>
      </c>
      <c r="C200" s="21">
        <v>100</v>
      </c>
      <c r="D200" s="21">
        <v>150</v>
      </c>
      <c r="E200" s="122">
        <f>20.43*100/1000</f>
        <v>2.0430000000000001</v>
      </c>
      <c r="F200" s="122">
        <f>20.43*150/1000</f>
        <v>3.0644999999999998</v>
      </c>
      <c r="G200" s="122">
        <f>32.01*100/1000</f>
        <v>3.2010000000000001</v>
      </c>
      <c r="H200" s="122">
        <f>32.01*150/1000</f>
        <v>4.8014999999999999</v>
      </c>
      <c r="I200" s="122">
        <f>136*100/1000</f>
        <v>13.6</v>
      </c>
      <c r="J200" s="122">
        <f>136.26*150/1000</f>
        <v>20.439</v>
      </c>
      <c r="K200" s="122">
        <f>915*120/1000</f>
        <v>109.8</v>
      </c>
      <c r="L200" s="122">
        <f>915*150/1000</f>
        <v>137.25</v>
      </c>
      <c r="M200" s="122">
        <f>121.07*120/1000</f>
        <v>14.5284</v>
      </c>
      <c r="N200" s="122">
        <f>121.07*150/1000</f>
        <v>18.160499999999999</v>
      </c>
      <c r="O200" s="247">
        <v>321</v>
      </c>
      <c r="P200" s="65"/>
      <c r="Q200" s="65"/>
      <c r="R200" s="65"/>
      <c r="S200" s="65"/>
    </row>
    <row r="201" spans="1:19" s="66" customFormat="1" ht="13" customHeight="1" x14ac:dyDescent="0.3">
      <c r="A201" s="763"/>
      <c r="B201" s="92" t="s">
        <v>273</v>
      </c>
      <c r="C201" s="21">
        <v>150</v>
      </c>
      <c r="D201" s="21">
        <v>180</v>
      </c>
      <c r="E201" s="122">
        <f>2.2*150/1000</f>
        <v>0.33</v>
      </c>
      <c r="F201" s="122">
        <f>2.2*180/1000</f>
        <v>0.39600000000000007</v>
      </c>
      <c r="G201" s="122">
        <f>0.1*150/1000</f>
        <v>1.4999999999999999E-2</v>
      </c>
      <c r="H201" s="122">
        <f>0.1*180/1000</f>
        <v>1.7999999999999999E-2</v>
      </c>
      <c r="I201" s="122">
        <f>138*150/1000</f>
        <v>20.7</v>
      </c>
      <c r="J201" s="122">
        <f>138*180/1000</f>
        <v>24.84</v>
      </c>
      <c r="K201" s="122">
        <f>565*150/1000</f>
        <v>84.75</v>
      </c>
      <c r="L201" s="122">
        <f>565*180/1000</f>
        <v>101.7</v>
      </c>
      <c r="M201" s="122">
        <f>2*150/1000</f>
        <v>0.3</v>
      </c>
      <c r="N201" s="122">
        <f>2*180/1000</f>
        <v>0.36</v>
      </c>
      <c r="O201" s="247">
        <v>376</v>
      </c>
      <c r="P201" s="65"/>
      <c r="Q201" s="65"/>
      <c r="R201" s="65"/>
      <c r="S201" s="65"/>
    </row>
    <row r="202" spans="1:19" s="66" customFormat="1" ht="13" customHeight="1" x14ac:dyDescent="0.3">
      <c r="A202" s="763"/>
      <c r="B202" s="92" t="s">
        <v>155</v>
      </c>
      <c r="C202" s="119">
        <v>20</v>
      </c>
      <c r="D202" s="119">
        <v>25</v>
      </c>
      <c r="E202" s="269">
        <f>7.6*20/100</f>
        <v>1.52</v>
      </c>
      <c r="F202" s="122">
        <f>7.6*25/100</f>
        <v>1.9</v>
      </c>
      <c r="G202" s="122">
        <f>0.8*20/1000</f>
        <v>1.6E-2</v>
      </c>
      <c r="H202" s="122">
        <f>0.8*25/1000</f>
        <v>0.02</v>
      </c>
      <c r="I202" s="122">
        <f>49.2*20/100</f>
        <v>9.84</v>
      </c>
      <c r="J202" s="122">
        <f>49.2*25/100</f>
        <v>12.3</v>
      </c>
      <c r="K202" s="122">
        <f>235*20/100</f>
        <v>47</v>
      </c>
      <c r="L202" s="122">
        <f>235*25/100</f>
        <v>58.75</v>
      </c>
      <c r="M202" s="122">
        <v>0</v>
      </c>
      <c r="N202" s="122">
        <v>0</v>
      </c>
      <c r="O202" s="236" t="s">
        <v>277</v>
      </c>
      <c r="P202" s="65"/>
      <c r="Q202" s="65"/>
      <c r="R202" s="65"/>
      <c r="S202" s="65"/>
    </row>
    <row r="203" spans="1:19" s="66" customFormat="1" ht="13" customHeight="1" thickBot="1" x14ac:dyDescent="0.35">
      <c r="A203" s="764"/>
      <c r="B203" s="95" t="s">
        <v>162</v>
      </c>
      <c r="C203" s="126">
        <v>17</v>
      </c>
      <c r="D203" s="126">
        <v>21</v>
      </c>
      <c r="E203" s="272">
        <f>5.6*17/100</f>
        <v>0.95199999999999985</v>
      </c>
      <c r="F203" s="239">
        <f>5.6*21/100</f>
        <v>1.1759999999999999</v>
      </c>
      <c r="G203" s="239">
        <f>1.1*17/100</f>
        <v>0.18700000000000003</v>
      </c>
      <c r="H203" s="239">
        <f>1.1*21/100</f>
        <v>0.23100000000000001</v>
      </c>
      <c r="I203" s="239">
        <f>49.4*17/100</f>
        <v>8.3979999999999997</v>
      </c>
      <c r="J203" s="239">
        <f>49.4*17/100</f>
        <v>8.3979999999999997</v>
      </c>
      <c r="K203" s="239">
        <f>232*17/100</f>
        <v>39.44</v>
      </c>
      <c r="L203" s="239">
        <f>232*21/100</f>
        <v>48.72</v>
      </c>
      <c r="M203" s="239">
        <v>0</v>
      </c>
      <c r="N203" s="239">
        <v>0</v>
      </c>
      <c r="O203" s="240" t="s">
        <v>277</v>
      </c>
      <c r="P203" s="65"/>
      <c r="Q203" s="65"/>
      <c r="R203" s="65"/>
      <c r="S203" s="65"/>
    </row>
    <row r="204" spans="1:19" s="66" customFormat="1" ht="13" customHeight="1" x14ac:dyDescent="0.3">
      <c r="A204" s="792" t="s">
        <v>86</v>
      </c>
      <c r="B204" s="285" t="s">
        <v>356</v>
      </c>
      <c r="C204" s="20">
        <v>65</v>
      </c>
      <c r="D204" s="20">
        <v>85</v>
      </c>
      <c r="E204" s="234">
        <v>6.42</v>
      </c>
      <c r="F204" s="234">
        <v>8.52</v>
      </c>
      <c r="G204" s="234">
        <v>8.77</v>
      </c>
      <c r="H204" s="234">
        <v>11.69</v>
      </c>
      <c r="I204" s="234">
        <v>3.96</v>
      </c>
      <c r="J204" s="234">
        <v>5.05</v>
      </c>
      <c r="K204" s="234">
        <v>120</v>
      </c>
      <c r="L204" s="234">
        <v>160</v>
      </c>
      <c r="M204" s="234">
        <v>0.21</v>
      </c>
      <c r="N204" s="234">
        <v>0.28000000000000003</v>
      </c>
      <c r="O204" s="286">
        <v>228</v>
      </c>
      <c r="P204" s="65"/>
      <c r="Q204" s="65"/>
      <c r="R204" s="65"/>
      <c r="S204" s="65"/>
    </row>
    <row r="205" spans="1:19" s="66" customFormat="1" ht="13" customHeight="1" x14ac:dyDescent="0.3">
      <c r="A205" s="793"/>
      <c r="B205" s="92" t="s">
        <v>156</v>
      </c>
      <c r="C205" s="21">
        <v>200</v>
      </c>
      <c r="D205" s="21">
        <v>200</v>
      </c>
      <c r="E205" s="122">
        <f>4.35*200/150</f>
        <v>5.7999999999999989</v>
      </c>
      <c r="F205" s="122">
        <f>4.35*200/150</f>
        <v>5.7999999999999989</v>
      </c>
      <c r="G205" s="122">
        <f>3.75*200/150</f>
        <v>5</v>
      </c>
      <c r="H205" s="122">
        <f>3.75*200/150</f>
        <v>5</v>
      </c>
      <c r="I205" s="122">
        <f>6.3*200/150</f>
        <v>8.4</v>
      </c>
      <c r="J205" s="122">
        <f>6.3*200/150</f>
        <v>8.4</v>
      </c>
      <c r="K205" s="122">
        <f>76*200/150</f>
        <v>101.33333333333333</v>
      </c>
      <c r="L205" s="122">
        <f>76*200/150</f>
        <v>101.33333333333333</v>
      </c>
      <c r="M205" s="122">
        <f>0.45*200/150</f>
        <v>0.6</v>
      </c>
      <c r="N205" s="122">
        <f>0.45*200/150</f>
        <v>0.6</v>
      </c>
      <c r="O205" s="247">
        <v>401</v>
      </c>
      <c r="P205" s="65"/>
      <c r="Q205" s="65"/>
      <c r="R205" s="65"/>
      <c r="S205" s="65"/>
    </row>
    <row r="206" spans="1:19" s="66" customFormat="1" ht="13" customHeight="1" x14ac:dyDescent="0.3">
      <c r="A206" s="794"/>
      <c r="B206" s="92" t="s">
        <v>162</v>
      </c>
      <c r="C206" s="21">
        <v>17</v>
      </c>
      <c r="D206" s="21">
        <v>21</v>
      </c>
      <c r="E206" s="269">
        <f>5.6*17/100</f>
        <v>0.95199999999999985</v>
      </c>
      <c r="F206" s="122">
        <f>5.6*21/100</f>
        <v>1.1759999999999999</v>
      </c>
      <c r="G206" s="122">
        <f>1.1*17/100</f>
        <v>0.18700000000000003</v>
      </c>
      <c r="H206" s="122">
        <f>1.1*21/100</f>
        <v>0.23100000000000001</v>
      </c>
      <c r="I206" s="122">
        <f>49.4*17/100</f>
        <v>8.3979999999999997</v>
      </c>
      <c r="J206" s="122">
        <f>49.4*17/100</f>
        <v>8.3979999999999997</v>
      </c>
      <c r="K206" s="122">
        <f>232*17/100</f>
        <v>39.44</v>
      </c>
      <c r="L206" s="122">
        <f>232*21/100</f>
        <v>48.72</v>
      </c>
      <c r="M206" s="122">
        <v>0</v>
      </c>
      <c r="N206" s="122">
        <v>0</v>
      </c>
      <c r="O206" s="236" t="s">
        <v>277</v>
      </c>
      <c r="P206" s="65"/>
      <c r="Q206" s="65"/>
      <c r="R206" s="65"/>
      <c r="S206" s="65"/>
    </row>
    <row r="207" spans="1:19" s="66" customFormat="1" ht="13" customHeight="1" thickBot="1" x14ac:dyDescent="0.35">
      <c r="A207" s="793"/>
      <c r="B207" s="28" t="s">
        <v>300</v>
      </c>
      <c r="C207" s="112">
        <v>25</v>
      </c>
      <c r="D207" s="112">
        <v>40</v>
      </c>
      <c r="E207" s="278">
        <f>7.5*25/100</f>
        <v>1.875</v>
      </c>
      <c r="F207" s="278">
        <f>7.5*40/100</f>
        <v>3</v>
      </c>
      <c r="G207" s="278">
        <f>9.8*25/100</f>
        <v>2.4500000000000002</v>
      </c>
      <c r="H207" s="278">
        <f>9.8*40/100</f>
        <v>3.92</v>
      </c>
      <c r="I207" s="278">
        <f>74.4*25/100</f>
        <v>18.600000000000001</v>
      </c>
      <c r="J207" s="278">
        <f>74.4*40/100</f>
        <v>29.76</v>
      </c>
      <c r="K207" s="278">
        <f>417*25/100</f>
        <v>104.25</v>
      </c>
      <c r="L207" s="278">
        <f>417*40/100</f>
        <v>166.8</v>
      </c>
      <c r="M207" s="278">
        <v>0</v>
      </c>
      <c r="N207" s="278">
        <v>0</v>
      </c>
      <c r="O207" s="279" t="s">
        <v>190</v>
      </c>
      <c r="P207" s="65"/>
      <c r="Q207" s="65"/>
      <c r="R207" s="65"/>
      <c r="S207" s="65"/>
    </row>
    <row r="208" spans="1:19" s="66" customFormat="1" ht="13" customHeight="1" thickBot="1" x14ac:dyDescent="0.35">
      <c r="A208" s="147" t="s">
        <v>90</v>
      </c>
      <c r="B208" s="97"/>
      <c r="C208" s="101">
        <f>SUM(C193:C207)</f>
        <v>1224</v>
      </c>
      <c r="D208" s="102">
        <f>SUM(D193:D207)</f>
        <v>1497</v>
      </c>
      <c r="E208" s="103">
        <f>SUM(E193:E207)</f>
        <v>42.764799999999987</v>
      </c>
      <c r="F208" s="107">
        <f t="shared" ref="F208:N208" si="9">SUM(F193:F207)</f>
        <v>50.185399999999994</v>
      </c>
      <c r="G208" s="140">
        <f t="shared" si="9"/>
        <v>48.287500000000001</v>
      </c>
      <c r="H208" s="105">
        <f t="shared" si="9"/>
        <v>56.939000000000007</v>
      </c>
      <c r="I208" s="105">
        <f t="shared" si="9"/>
        <v>189.74340000000001</v>
      </c>
      <c r="J208" s="105">
        <f t="shared" si="9"/>
        <v>230.31670000000003</v>
      </c>
      <c r="K208" s="105">
        <f t="shared" si="9"/>
        <v>1440.4166666666667</v>
      </c>
      <c r="L208" s="105">
        <f t="shared" si="9"/>
        <v>1722.9766666666667</v>
      </c>
      <c r="M208" s="105">
        <f t="shared" si="9"/>
        <v>39.8504</v>
      </c>
      <c r="N208" s="105">
        <f t="shared" si="9"/>
        <v>46.136500000000005</v>
      </c>
      <c r="O208" s="280"/>
      <c r="P208" s="86"/>
      <c r="Q208" s="65"/>
      <c r="R208" s="65"/>
      <c r="S208" s="65"/>
    </row>
    <row r="209" spans="1:19" s="66" customFormat="1" ht="13" customHeight="1" x14ac:dyDescent="0.3">
      <c r="A209" s="51" t="s">
        <v>151</v>
      </c>
      <c r="B209" s="76"/>
      <c r="C209" s="52"/>
      <c r="D209" s="52"/>
      <c r="E209" s="77">
        <f>(E208+E188+E169+E126+E106+E86+E25+E148+E66+E47)/10</f>
        <v>53.17710597402597</v>
      </c>
      <c r="F209" s="77">
        <f t="shared" ref="F209:N209" si="10">(F208+F188+F169+F126+F106+F86+F25+F148+F66+F47)/10</f>
        <v>64.652320064935068</v>
      </c>
      <c r="G209" s="77">
        <f t="shared" si="10"/>
        <v>49.42611774891774</v>
      </c>
      <c r="H209" s="77">
        <f t="shared" si="10"/>
        <v>57.618192294372292</v>
      </c>
      <c r="I209" s="77">
        <f t="shared" si="10"/>
        <v>186.80997094905095</v>
      </c>
      <c r="J209" s="77">
        <f t="shared" si="10"/>
        <v>226.58437685814187</v>
      </c>
      <c r="K209" s="77">
        <f t="shared" si="10"/>
        <v>1384.5369843489843</v>
      </c>
      <c r="L209" s="77">
        <f t="shared" si="10"/>
        <v>1644.4527570762573</v>
      </c>
      <c r="M209" s="77">
        <f t="shared" si="10"/>
        <v>68.467369425574432</v>
      </c>
      <c r="N209" s="77">
        <f t="shared" si="10"/>
        <v>80.09618624375625</v>
      </c>
      <c r="O209" s="78"/>
      <c r="P209" s="86"/>
      <c r="Q209" s="65"/>
      <c r="R209" s="65"/>
      <c r="S209" s="65"/>
    </row>
    <row r="210" spans="1:19" s="6" customFormat="1" ht="13" customHeight="1" x14ac:dyDescent="0.3">
      <c r="A210" s="32" t="s">
        <v>210</v>
      </c>
      <c r="B210" s="79"/>
      <c r="C210" s="31">
        <f>(E209+G209+I209)/6</f>
        <v>48.235532445332446</v>
      </c>
      <c r="D210" s="31">
        <f>(F209+H209+J209)/6</f>
        <v>58.14248153624154</v>
      </c>
      <c r="E210" s="64">
        <f>E209/C210</f>
        <v>1.1024467498994448</v>
      </c>
      <c r="F210" s="64">
        <f>F209/D210</f>
        <v>1.1119635481095831</v>
      </c>
      <c r="G210" s="64">
        <f>G209/C210</f>
        <v>1.0246827440939859</v>
      </c>
      <c r="H210" s="64">
        <f>H209/D210</f>
        <v>0.99098268205937434</v>
      </c>
      <c r="I210" s="64">
        <f>I209/C210</f>
        <v>3.8728705060065689</v>
      </c>
      <c r="J210" s="64">
        <f>J209/D210</f>
        <v>3.8970537698310421</v>
      </c>
      <c r="K210" s="80"/>
      <c r="L210" s="80"/>
      <c r="M210" s="80"/>
      <c r="N210" s="80"/>
      <c r="O210" s="81"/>
      <c r="P210" s="5"/>
      <c r="Q210" s="5"/>
      <c r="R210" s="5"/>
      <c r="S210" s="5"/>
    </row>
    <row r="211" spans="1:19" s="6" customFormat="1" ht="13" customHeight="1" thickBot="1" x14ac:dyDescent="0.35">
      <c r="A211" s="33" t="s">
        <v>152</v>
      </c>
      <c r="B211" s="82"/>
      <c r="C211" s="34"/>
      <c r="D211" s="34"/>
      <c r="E211" s="45">
        <f>42*85/100</f>
        <v>35.700000000000003</v>
      </c>
      <c r="F211" s="45">
        <f>54*85/100</f>
        <v>45.9</v>
      </c>
      <c r="G211" s="45">
        <f>47*85/100</f>
        <v>39.950000000000003</v>
      </c>
      <c r="H211" s="45">
        <f>60*85/100</f>
        <v>51</v>
      </c>
      <c r="I211" s="45">
        <f>203*85/100</f>
        <v>172.55</v>
      </c>
      <c r="J211" s="45">
        <f>261*85/100</f>
        <v>221.85</v>
      </c>
      <c r="K211" s="45">
        <f>1400*85/100</f>
        <v>1190</v>
      </c>
      <c r="L211" s="45">
        <f>1800*85/100</f>
        <v>1530</v>
      </c>
      <c r="M211" s="45"/>
      <c r="N211" s="45"/>
      <c r="O211" s="83"/>
      <c r="P211" s="5"/>
      <c r="Q211" s="5"/>
      <c r="R211" s="5"/>
      <c r="S211" s="5"/>
    </row>
    <row r="212" spans="1:19" s="6" customFormat="1" ht="13" customHeight="1" thickBot="1" x14ac:dyDescent="0.35">
      <c r="A212" s="47"/>
      <c r="B212" s="48"/>
      <c r="C212" s="49"/>
      <c r="D212" s="50"/>
      <c r="E212" s="84">
        <f>E209/K209*4</f>
        <v>0.15363144957526748</v>
      </c>
      <c r="F212" s="84">
        <f>F209/L209*4</f>
        <v>0.157261605203869</v>
      </c>
      <c r="G212" s="84">
        <f>G209/K209*9</f>
        <v>0.32128795746790623</v>
      </c>
      <c r="H212" s="84">
        <f>H209/L209*9</f>
        <v>0.31534121513550029</v>
      </c>
      <c r="I212" s="84">
        <f>I209/K209*4</f>
        <v>0.53970380874120127</v>
      </c>
      <c r="J212" s="84">
        <f>J209/L209*4</f>
        <v>0.55114840090875195</v>
      </c>
      <c r="K212" s="44"/>
      <c r="L212" s="44"/>
      <c r="M212" s="44"/>
      <c r="N212" s="44"/>
      <c r="O212" s="85"/>
      <c r="P212" s="5"/>
      <c r="Q212" s="5"/>
      <c r="R212" s="5"/>
      <c r="S212" s="5"/>
    </row>
    <row r="213" spans="1:19" x14ac:dyDescent="0.3">
      <c r="A213" s="287"/>
    </row>
  </sheetData>
  <mergeCells count="142">
    <mergeCell ref="G69:H69"/>
    <mergeCell ref="A71:A73"/>
    <mergeCell ref="A68:A70"/>
    <mergeCell ref="I109:J109"/>
    <mergeCell ref="I89:J89"/>
    <mergeCell ref="A91:A94"/>
    <mergeCell ref="A96:A101"/>
    <mergeCell ref="I69:J69"/>
    <mergeCell ref="O129:O131"/>
    <mergeCell ref="O108:O110"/>
    <mergeCell ref="A87:O87"/>
    <mergeCell ref="I130:J130"/>
    <mergeCell ref="O88:O90"/>
    <mergeCell ref="M88:N89"/>
    <mergeCell ref="C89:D89"/>
    <mergeCell ref="K88:L89"/>
    <mergeCell ref="A115:A121"/>
    <mergeCell ref="A122:A125"/>
    <mergeCell ref="A102:A105"/>
    <mergeCell ref="O68:O70"/>
    <mergeCell ref="M68:N69"/>
    <mergeCell ref="A204:A207"/>
    <mergeCell ref="A137:A143"/>
    <mergeCell ref="C172:D172"/>
    <mergeCell ref="C129:D129"/>
    <mergeCell ref="A197:A203"/>
    <mergeCell ref="A185:A187"/>
    <mergeCell ref="A193:A195"/>
    <mergeCell ref="A175:A177"/>
    <mergeCell ref="A132:A135"/>
    <mergeCell ref="A189:O189"/>
    <mergeCell ref="A129:A131"/>
    <mergeCell ref="M108:N109"/>
    <mergeCell ref="E108:J108"/>
    <mergeCell ref="K108:L109"/>
    <mergeCell ref="K129:L130"/>
    <mergeCell ref="C130:D130"/>
    <mergeCell ref="G130:H130"/>
    <mergeCell ref="E130:F130"/>
    <mergeCell ref="E129:J129"/>
    <mergeCell ref="A108:A110"/>
    <mergeCell ref="O150:O152"/>
    <mergeCell ref="M5:N6"/>
    <mergeCell ref="E6:F6"/>
    <mergeCell ref="K49:L50"/>
    <mergeCell ref="M27:N28"/>
    <mergeCell ref="E28:F28"/>
    <mergeCell ref="G28:H28"/>
    <mergeCell ref="G6:H6"/>
    <mergeCell ref="I28:J28"/>
    <mergeCell ref="K27:L28"/>
    <mergeCell ref="A179:A184"/>
    <mergeCell ref="C191:D191"/>
    <mergeCell ref="C190:D190"/>
    <mergeCell ref="M190:N191"/>
    <mergeCell ref="A190:A192"/>
    <mergeCell ref="A1:O1"/>
    <mergeCell ref="A2:O2"/>
    <mergeCell ref="A3:O3"/>
    <mergeCell ref="A8:A12"/>
    <mergeCell ref="K5:L6"/>
    <mergeCell ref="C5:D5"/>
    <mergeCell ref="E5:J5"/>
    <mergeCell ref="A4:O4"/>
    <mergeCell ref="O5:O7"/>
    <mergeCell ref="I6:J6"/>
    <mergeCell ref="A5:A7"/>
    <mergeCell ref="A14:A20"/>
    <mergeCell ref="C6:D6"/>
    <mergeCell ref="I50:J50"/>
    <mergeCell ref="A30:A33"/>
    <mergeCell ref="A49:A51"/>
    <mergeCell ref="A21:A24"/>
    <mergeCell ref="A26:O26"/>
    <mergeCell ref="A48:O48"/>
    <mergeCell ref="O190:O192"/>
    <mergeCell ref="E191:F191"/>
    <mergeCell ref="K190:L191"/>
    <mergeCell ref="E172:J172"/>
    <mergeCell ref="K172:L173"/>
    <mergeCell ref="E190:J190"/>
    <mergeCell ref="G191:H191"/>
    <mergeCell ref="I191:J191"/>
    <mergeCell ref="E150:J150"/>
    <mergeCell ref="M150:N151"/>
    <mergeCell ref="C27:D27"/>
    <mergeCell ref="E27:J27"/>
    <mergeCell ref="A158:A164"/>
    <mergeCell ref="I151:J151"/>
    <mergeCell ref="A42:A46"/>
    <mergeCell ref="C28:D28"/>
    <mergeCell ref="A27:A29"/>
    <mergeCell ref="C69:D69"/>
    <mergeCell ref="A52:A54"/>
    <mergeCell ref="C49:D49"/>
    <mergeCell ref="E89:F89"/>
    <mergeCell ref="G89:H89"/>
    <mergeCell ref="A150:A152"/>
    <mergeCell ref="A144:A147"/>
    <mergeCell ref="A149:O149"/>
    <mergeCell ref="M129:N130"/>
    <mergeCell ref="C150:D150"/>
    <mergeCell ref="C109:D109"/>
    <mergeCell ref="C108:D108"/>
    <mergeCell ref="A35:A41"/>
    <mergeCell ref="O49:O51"/>
    <mergeCell ref="O27:O29"/>
    <mergeCell ref="K68:L69"/>
    <mergeCell ref="E109:F109"/>
    <mergeCell ref="E49:J49"/>
    <mergeCell ref="E50:F50"/>
    <mergeCell ref="A153:A156"/>
    <mergeCell ref="C151:D151"/>
    <mergeCell ref="A128:O128"/>
    <mergeCell ref="A111:A113"/>
    <mergeCell ref="K150:L151"/>
    <mergeCell ref="E151:F151"/>
    <mergeCell ref="G151:H151"/>
    <mergeCell ref="M49:N50"/>
    <mergeCell ref="C88:D88"/>
    <mergeCell ref="G50:H50"/>
    <mergeCell ref="A75:A81"/>
    <mergeCell ref="A62:A65"/>
    <mergeCell ref="A56:A61"/>
    <mergeCell ref="C50:D50"/>
    <mergeCell ref="A82:A85"/>
    <mergeCell ref="E88:J88"/>
    <mergeCell ref="E68:J68"/>
    <mergeCell ref="G109:H109"/>
    <mergeCell ref="A67:O67"/>
    <mergeCell ref="C68:D68"/>
    <mergeCell ref="E69:F69"/>
    <mergeCell ref="A107:O107"/>
    <mergeCell ref="A165:A168"/>
    <mergeCell ref="A171:O171"/>
    <mergeCell ref="M172:N173"/>
    <mergeCell ref="A172:A174"/>
    <mergeCell ref="O172:O174"/>
    <mergeCell ref="C173:D173"/>
    <mergeCell ref="E173:F173"/>
    <mergeCell ref="G173:H173"/>
    <mergeCell ref="I173:J173"/>
  </mergeCells>
  <phoneticPr fontId="2" type="noConversion"/>
  <pageMargins left="0.15" right="0.15" top="0.16" bottom="0.37" header="0.5" footer="0.38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workbookViewId="0">
      <selection activeCell="G19" sqref="G19"/>
    </sheetView>
  </sheetViews>
  <sheetFormatPr defaultRowHeight="13" x14ac:dyDescent="0.3"/>
  <cols>
    <col min="1" max="1" width="3.81640625" style="29" customWidth="1"/>
    <col min="2" max="2" width="22.54296875" style="29" customWidth="1"/>
    <col min="3" max="4" width="5.453125" style="29" customWidth="1"/>
    <col min="5" max="14" width="8" style="29" customWidth="1"/>
    <col min="15" max="15" width="6.7265625" style="205" customWidth="1"/>
    <col min="16" max="16" width="8.7265625" style="205" customWidth="1"/>
    <col min="17" max="17" width="9.1796875" style="59" customWidth="1"/>
  </cols>
  <sheetData>
    <row r="1" spans="1:17" ht="15" x14ac:dyDescent="0.3">
      <c r="A1" s="798" t="s">
        <v>355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</row>
    <row r="2" spans="1:17" x14ac:dyDescent="0.3">
      <c r="A2" s="799" t="s">
        <v>357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</row>
    <row r="3" spans="1:17" x14ac:dyDescent="0.3">
      <c r="A3" s="800" t="s">
        <v>374</v>
      </c>
      <c r="B3" s="801"/>
      <c r="C3" s="801"/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2"/>
    </row>
    <row r="4" spans="1:17" ht="13.5" thickBot="1" x14ac:dyDescent="0.35">
      <c r="A4" s="803" t="s">
        <v>358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  <c r="M4" s="804"/>
      <c r="N4" s="804"/>
      <c r="O4" s="804"/>
      <c r="P4" s="805"/>
    </row>
    <row r="5" spans="1:17" s="2" customFormat="1" ht="22.5" customHeight="1" x14ac:dyDescent="0.25">
      <c r="A5" s="746" t="s">
        <v>15</v>
      </c>
      <c r="B5" s="808" t="s">
        <v>16</v>
      </c>
      <c r="C5" s="811" t="s">
        <v>359</v>
      </c>
      <c r="D5" s="812"/>
      <c r="E5" s="817" t="s">
        <v>360</v>
      </c>
      <c r="F5" s="818"/>
      <c r="G5" s="818"/>
      <c r="H5" s="818"/>
      <c r="I5" s="818"/>
      <c r="J5" s="818"/>
      <c r="K5" s="818"/>
      <c r="L5" s="818"/>
      <c r="M5" s="818"/>
      <c r="N5" s="819"/>
      <c r="O5" s="826" t="s">
        <v>361</v>
      </c>
      <c r="P5" s="826" t="s">
        <v>362</v>
      </c>
      <c r="Q5" s="3"/>
    </row>
    <row r="6" spans="1:17" s="2" customFormat="1" ht="16" customHeight="1" x14ac:dyDescent="0.25">
      <c r="A6" s="747"/>
      <c r="B6" s="809"/>
      <c r="C6" s="813"/>
      <c r="D6" s="814"/>
      <c r="E6" s="820"/>
      <c r="F6" s="821"/>
      <c r="G6" s="821"/>
      <c r="H6" s="821"/>
      <c r="I6" s="821"/>
      <c r="J6" s="821"/>
      <c r="K6" s="821"/>
      <c r="L6" s="821"/>
      <c r="M6" s="821"/>
      <c r="N6" s="822"/>
      <c r="O6" s="827"/>
      <c r="P6" s="827"/>
      <c r="Q6" s="3"/>
    </row>
    <row r="7" spans="1:17" s="2" customFormat="1" ht="16" customHeight="1" x14ac:dyDescent="0.25">
      <c r="A7" s="747"/>
      <c r="B7" s="809"/>
      <c r="C7" s="813"/>
      <c r="D7" s="814"/>
      <c r="E7" s="823"/>
      <c r="F7" s="824"/>
      <c r="G7" s="824"/>
      <c r="H7" s="824"/>
      <c r="I7" s="824"/>
      <c r="J7" s="824"/>
      <c r="K7" s="824"/>
      <c r="L7" s="824"/>
      <c r="M7" s="824"/>
      <c r="N7" s="825"/>
      <c r="O7" s="827"/>
      <c r="P7" s="827"/>
      <c r="Q7" s="3"/>
    </row>
    <row r="8" spans="1:17" s="2" customFormat="1" ht="27" customHeight="1" thickBot="1" x14ac:dyDescent="0.35">
      <c r="A8" s="807"/>
      <c r="B8" s="810"/>
      <c r="C8" s="815"/>
      <c r="D8" s="816"/>
      <c r="E8" s="28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5</v>
      </c>
      <c r="K8" s="12" t="s">
        <v>6</v>
      </c>
      <c r="L8" s="12" t="s">
        <v>7</v>
      </c>
      <c r="M8" s="12" t="s">
        <v>8</v>
      </c>
      <c r="N8" s="190" t="s">
        <v>9</v>
      </c>
      <c r="O8" s="828"/>
      <c r="P8" s="828"/>
      <c r="Q8" s="3"/>
    </row>
    <row r="9" spans="1:17" s="2" customFormat="1" ht="11.5" customHeight="1" x14ac:dyDescent="0.3">
      <c r="A9" s="191">
        <v>1</v>
      </c>
      <c r="B9" s="150" t="s">
        <v>17</v>
      </c>
      <c r="C9" s="150" t="s">
        <v>18</v>
      </c>
      <c r="D9" s="151">
        <f>40*85/100</f>
        <v>34</v>
      </c>
      <c r="E9" s="151">
        <f>'расчет вложения'!E46+'расчет вложения'!E57</f>
        <v>34</v>
      </c>
      <c r="F9" s="151">
        <f>'расчет вложения'!D131+'расчет вложения'!E152</f>
        <v>34</v>
      </c>
      <c r="G9" s="151">
        <f>'расчет вложения'!E212+'расчет вложения'!E231</f>
        <v>34</v>
      </c>
      <c r="H9" s="151">
        <f>'расчет вложения'!E294+'расчет вложения'!E309</f>
        <v>34</v>
      </c>
      <c r="I9" s="151">
        <f>'расчет вложения'!E358+'расчет вложения'!E380</f>
        <v>34</v>
      </c>
      <c r="J9" s="151">
        <f>'расчет вложения'!E434+'расчет вложения'!E442</f>
        <v>34</v>
      </c>
      <c r="K9" s="151">
        <f>'расчет вложения'!E502+'расчет вложения'!E511</f>
        <v>34</v>
      </c>
      <c r="L9" s="151">
        <f>'расчет вложения'!E559+'расчет вложения'!E578</f>
        <v>34</v>
      </c>
      <c r="M9" s="151">
        <f>'расчет вложения'!E656+'расчет вложения'!E639</f>
        <v>34</v>
      </c>
      <c r="N9" s="151">
        <f>'расчет вложения'!E715+'расчет вложения'!E737</f>
        <v>34</v>
      </c>
      <c r="O9" s="151">
        <f>SUM(E9:N9)/10</f>
        <v>34</v>
      </c>
      <c r="P9" s="496">
        <f>O9/D9%-100</f>
        <v>0</v>
      </c>
      <c r="Q9" s="3"/>
    </row>
    <row r="10" spans="1:17" s="2" customFormat="1" ht="11.5" customHeight="1" x14ac:dyDescent="0.3">
      <c r="A10" s="92">
        <v>2</v>
      </c>
      <c r="B10" s="10" t="s">
        <v>19</v>
      </c>
      <c r="C10" s="10" t="s">
        <v>18</v>
      </c>
      <c r="D10" s="93">
        <f>60*85/100</f>
        <v>51</v>
      </c>
      <c r="E10" s="93">
        <f>'расчет вложения'!E10+'расчет вложения'!E45</f>
        <v>44</v>
      </c>
      <c r="F10" s="93">
        <f>'расчет вложения'!E71+'расчет вложения'!E76+'расчет вложения'!D102+'расчет вложения'!E130</f>
        <v>57.6</v>
      </c>
      <c r="G10" s="93">
        <f>'расчет вложения'!E163+'расчет вложения'!E211+'расчет вложения'!D223</f>
        <v>44</v>
      </c>
      <c r="H10" s="93">
        <f>'расчет вложения'!E240+'расчет вложения'!E264+'расчет вложения'!E293</f>
        <v>55</v>
      </c>
      <c r="I10" s="93">
        <f>'расчет вложения'!E357+'расчет вложения'!E319</f>
        <v>44</v>
      </c>
      <c r="J10" s="93">
        <f>'расчет вложения'!E433+'расчет вложения'!E389+'расчет вложения'!D438</f>
        <v>45.733333333333334</v>
      </c>
      <c r="K10" s="93">
        <f>'расчет вложения'!E453+'расчет вложения'!D501</f>
        <v>44</v>
      </c>
      <c r="L10" s="93">
        <f>'расчет вложения'!E521+'расчет вложения'!D547+'расчет вложения'!E558+'расчет вложения'!D566</f>
        <v>56.1</v>
      </c>
      <c r="M10" s="93">
        <f>'расчет вложения'!D649+'расчет вложения'!D638+'расчет вложения'!E594</f>
        <v>47.120000000000005</v>
      </c>
      <c r="N10" s="93">
        <f>'расчет вложения'!E664+'расчет вложения'!E714</f>
        <v>44</v>
      </c>
      <c r="O10" s="151">
        <f t="shared" ref="O10:O37" si="0">SUM(E10:N10)/10</f>
        <v>48.155333333333331</v>
      </c>
      <c r="P10" s="94">
        <f>O10/D10%-100</f>
        <v>-5.5777777777777828</v>
      </c>
      <c r="Q10" s="3"/>
    </row>
    <row r="11" spans="1:17" s="2" customFormat="1" ht="11.5" customHeight="1" x14ac:dyDescent="0.3">
      <c r="A11" s="92">
        <v>3</v>
      </c>
      <c r="B11" s="10" t="s">
        <v>20</v>
      </c>
      <c r="C11" s="10" t="s">
        <v>18</v>
      </c>
      <c r="D11" s="93">
        <f>25*85/100</f>
        <v>21.25</v>
      </c>
      <c r="E11" s="93">
        <f>'расчет вложения'!E31</f>
        <v>6.16</v>
      </c>
      <c r="F11" s="93">
        <f>'расчет вложения'!D65+'расчет вложения'!D104+'расчет вложения'!D109+'расчет вложения'!E142</f>
        <v>26.875</v>
      </c>
      <c r="G11" s="93">
        <f>'расчет вложения'!E161+'расчет вложения'!E206+'расчет вложения'!E218</f>
        <v>24.715</v>
      </c>
      <c r="H11" s="93">
        <f>'расчет вложения'!E271+'расчет вложения'!E304+'расчет вложения'!E270</f>
        <v>4.125</v>
      </c>
      <c r="I11" s="93">
        <f>'расчет вложения'!E370+'расчет вложения'!E369+'расчет вложения'!E316</f>
        <v>48.800000000000004</v>
      </c>
      <c r="J11" s="93">
        <f>'расчет вложения'!E726+'расчет вложения'!E733+'расчет вложения'!E427</f>
        <v>29.158999999999999</v>
      </c>
      <c r="K11" s="93">
        <f>'расчет вложения'!E494+'расчет вложения'!E504</f>
        <v>8.754999999999999</v>
      </c>
      <c r="L11" s="93">
        <f>'расчет вложения'!E569</f>
        <v>26</v>
      </c>
      <c r="M11" s="93">
        <f>'расчет вложения'!E633+'расчет вложения'!E625+'расчет вложения'!E618+'расчет вложения'!E601+'расчет вложения'!E582+'расчет вложения'!E602</f>
        <v>27.919999999999998</v>
      </c>
      <c r="N11" s="93">
        <f>'расчет вложения'!E700</f>
        <v>1.5</v>
      </c>
      <c r="O11" s="151">
        <f t="shared" si="0"/>
        <v>20.4009</v>
      </c>
      <c r="P11" s="94">
        <f>O11/D11%-100</f>
        <v>-3.9957647058823511</v>
      </c>
      <c r="Q11" s="3"/>
    </row>
    <row r="12" spans="1:17" s="2" customFormat="1" ht="11.5" customHeight="1" x14ac:dyDescent="0.3">
      <c r="A12" s="92">
        <v>4</v>
      </c>
      <c r="B12" s="10" t="s">
        <v>21</v>
      </c>
      <c r="C12" s="10" t="s">
        <v>18</v>
      </c>
      <c r="D12" s="93">
        <f>2*85/100</f>
        <v>1.7</v>
      </c>
      <c r="E12" s="93">
        <v>0</v>
      </c>
      <c r="F12" s="93">
        <v>2</v>
      </c>
      <c r="G12" s="93">
        <f>'расчет вложения'!E210</f>
        <v>6.75</v>
      </c>
      <c r="H12" s="93">
        <v>0</v>
      </c>
      <c r="I12" s="93">
        <v>0</v>
      </c>
      <c r="J12" s="93">
        <v>0</v>
      </c>
      <c r="K12" s="93">
        <f>'расчет вложения'!E500</f>
        <v>7.5</v>
      </c>
      <c r="L12" s="93">
        <v>0</v>
      </c>
      <c r="M12" s="93">
        <f>'расчет вложения'!G590</f>
        <v>0.9</v>
      </c>
      <c r="N12" s="93">
        <f>0</f>
        <v>0</v>
      </c>
      <c r="O12" s="151">
        <f t="shared" si="0"/>
        <v>1.7149999999999999</v>
      </c>
      <c r="P12" s="94">
        <f>O12/D12%-100</f>
        <v>0.88235294117644969</v>
      </c>
      <c r="Q12" s="3"/>
    </row>
    <row r="13" spans="1:17" s="2" customFormat="1" ht="11.5" customHeight="1" x14ac:dyDescent="0.3">
      <c r="A13" s="92">
        <v>5</v>
      </c>
      <c r="B13" s="10" t="s">
        <v>22</v>
      </c>
      <c r="C13" s="10" t="s">
        <v>18</v>
      </c>
      <c r="D13" s="93">
        <f>30*85/100</f>
        <v>25.5</v>
      </c>
      <c r="E13" s="93">
        <f>+'расчет вложения'!E7</f>
        <v>28.86</v>
      </c>
      <c r="F13" s="93">
        <f>'расчет вложения'!E134</f>
        <v>4.3</v>
      </c>
      <c r="G13" s="93">
        <f>'расчет вложения'!E224</f>
        <v>35.700000000000003</v>
      </c>
      <c r="H13" s="93">
        <f>'расчет вложения'!E238+'расчет вложения'!E296</f>
        <v>39.5</v>
      </c>
      <c r="I13" s="93">
        <v>0</v>
      </c>
      <c r="J13" s="93">
        <f>'расчет вложения'!E385+'расчет вложения'!E386+'расчет вложения'!E405</f>
        <v>19.899999999999999</v>
      </c>
      <c r="K13" s="93">
        <f>'расчет вложения'!E481</f>
        <v>36.937599999999996</v>
      </c>
      <c r="L13" s="93">
        <f>'расчет вложения'!E517</f>
        <v>28.86</v>
      </c>
      <c r="M13" s="93">
        <f>'расчет вложения'!D615</f>
        <v>5</v>
      </c>
      <c r="N13" s="93">
        <f>'расчет вложения'!E723</f>
        <v>28</v>
      </c>
      <c r="O13" s="151">
        <f t="shared" si="0"/>
        <v>22.705759999999998</v>
      </c>
      <c r="P13" s="94">
        <f t="shared" ref="P13:P34" si="1">O13/D13%-100</f>
        <v>-10.95780392156864</v>
      </c>
      <c r="Q13" s="3"/>
    </row>
    <row r="14" spans="1:17" s="2" customFormat="1" ht="11.5" customHeight="1" x14ac:dyDescent="0.3">
      <c r="A14" s="92">
        <v>6</v>
      </c>
      <c r="B14" s="10" t="s">
        <v>150</v>
      </c>
      <c r="C14" s="10" t="s">
        <v>18</v>
      </c>
      <c r="D14" s="93">
        <f>120*85/100</f>
        <v>102</v>
      </c>
      <c r="E14" s="93">
        <f>'расчет вложения'!E24+'расчет вложения'!E48</f>
        <v>84</v>
      </c>
      <c r="F14" s="93">
        <f>'расчет вложения'!E89+'расчет вложения'!E119</f>
        <v>124.05</v>
      </c>
      <c r="G14" s="93">
        <f>'расчет вложения'!E172+'расчет вложения'!E187</f>
        <v>42</v>
      </c>
      <c r="H14" s="93">
        <f>'расчет вложения'!E253+'расчет вложения'!E273</f>
        <v>65</v>
      </c>
      <c r="I14" s="93">
        <f>'расчет вложения'!E326+'расчет вложения'!E347+'расчет вложения'!E360-15</f>
        <v>174.05</v>
      </c>
      <c r="J14" s="93">
        <f>'расчет вложения'!E401+'расчет вложения'!E418</f>
        <v>80</v>
      </c>
      <c r="K14" s="93">
        <f>'расчет вложения'!E467+'расчет вложения'!E461</f>
        <v>75</v>
      </c>
      <c r="L14" s="93">
        <f>'расчет вложения'!E550+'расчет вложения'!E530</f>
        <v>135</v>
      </c>
      <c r="M14" s="93">
        <f>'расчет вложения'!E640</f>
        <v>112</v>
      </c>
      <c r="N14" s="93">
        <f>'расчет вложения'!E704+'расчет вложения'!E675</f>
        <v>108.05</v>
      </c>
      <c r="O14" s="151">
        <f t="shared" si="0"/>
        <v>99.914999999999992</v>
      </c>
      <c r="P14" s="94">
        <f t="shared" si="1"/>
        <v>-2.044117647058826</v>
      </c>
      <c r="Q14" s="3"/>
    </row>
    <row r="15" spans="1:17" s="65" customFormat="1" ht="11.5" customHeight="1" x14ac:dyDescent="0.3">
      <c r="A15" s="92">
        <v>7</v>
      </c>
      <c r="B15" s="10" t="s">
        <v>23</v>
      </c>
      <c r="C15" s="10" t="s">
        <v>18</v>
      </c>
      <c r="D15" s="93">
        <f>180*85/100</f>
        <v>153</v>
      </c>
      <c r="E15" s="93">
        <f>'расчет вложения'!E18+'расчет вложения'!E22+'расчет вложения'!E28+'расчет вложения'!E40+'расчет вложения'!E42+'расчет вложения'!E47+'расчет вложения'!E54+'расчет вложения'!E19+'расчет вложения'!E20+'расчет вложения'!E55+'расчет вложения'!E27+'расчет вложения'!D29</f>
        <v>228.88</v>
      </c>
      <c r="F15" s="93">
        <f>'расчет вложения'!E83+'расчет вложения'!E88+'расчет вложения'!E93+'расчет вложения'!E94+'расчет вложения'!E95+'расчет вложения'!E112+'расчет вложения'!E114+'расчет вложения'!E85+'расчет вложения'!E132+'расчет вложения'!E144</f>
        <v>94.97999999999999</v>
      </c>
      <c r="G15" s="93">
        <f>'расчет вложения'!E171+'расчет вложения'!E172+'расчет вложения'!E196+'расчет вложения'!E220+'расчет вложения'!E194+'расчет вложения'!E197+'расчет вложения'!E199+'расчет вложения'!E202+'расчет вложения'!G204+'расчет вложения'!E183</f>
        <v>207.66000000000003</v>
      </c>
      <c r="H15" s="93">
        <f>'расчет вложения'!E238+'расчет вложения'!E248+'расчет вложения'!E250+'расчет вложения'!E251+'расчет вложения'!E252+'расчет вложения'!E257+'расчет вложения'!E258+'расчет вложения'!E259+'расчет вложения'!D278+'расчет вложения'!D281+'расчет вложения'!D282+'расчет вложения'!D283</f>
        <v>149.41</v>
      </c>
      <c r="I15" s="93">
        <f>'расчет вложения'!E323+'расчет вложения'!E329+'расчет вложения'!E331+'расчет вложения'!E332+'расчет вложения'!E340+'расчет вложения'!E342+'расчет вложения'!E359+'расчет вложения'!E366+'расчет вложения'!E367</f>
        <v>143</v>
      </c>
      <c r="J15" s="93">
        <f>'расчет вложения'!E397+'расчет вложения'!E398+'расчет вложения'!E407+'расчет вложения'!E408+'расчет вложения'!E409+'расчет вложения'!E414+'расчет вложения'!E417+'расчет вложения'!E422+'расчет вложения'!E423+'расчет вложения'!E424</f>
        <v>75.94</v>
      </c>
      <c r="K15" s="93">
        <f>'расчет вложения'!E458+'расчет вложения'!E460+'расчет вложения'!E464+'расчет вложения'!E465+'расчет вложения'!E471+'расчет вложения'!E472+'расчет вложения'!E476</f>
        <v>27.8</v>
      </c>
      <c r="L15" s="93">
        <f>'расчет вложения'!E555</f>
        <v>30</v>
      </c>
      <c r="M15" s="93">
        <f>'расчет вложения'!E597+'расчет вложения'!E599+'расчет вложения'!E607+'расчет вложения'!E608+'расчет вложения'!E614+'расчет вложения'!E627+'расчет вложения'!E630+'расчет вложения'!E631+'расчет вложения'!E646</f>
        <v>182.20500000000001</v>
      </c>
      <c r="N15" s="93">
        <f>'расчет вложения'!E670+'расчет вложения'!E671+'расчет вложения'!E672+'расчет вложения'!E679+'расчет вложения'!E680+'расчет вложения'!E682+'расчет вложения'!E684+'расчет вложения'!D692+'расчет вложения'!D693+'расчет вложения'!E720+'расчет вложения'!E721+'расчет вложения'!E722</f>
        <v>96.5</v>
      </c>
      <c r="O15" s="151">
        <f t="shared" si="0"/>
        <v>123.63749999999997</v>
      </c>
      <c r="P15" s="94">
        <f t="shared" si="1"/>
        <v>-19.19117647058826</v>
      </c>
    </row>
    <row r="16" spans="1:17" s="65" customFormat="1" ht="11.5" customHeight="1" x14ac:dyDescent="0.3">
      <c r="A16" s="92">
        <v>8</v>
      </c>
      <c r="B16" s="10" t="s">
        <v>24</v>
      </c>
      <c r="C16" s="10" t="s">
        <v>18</v>
      </c>
      <c r="D16" s="93">
        <f>95*85/100</f>
        <v>80.75</v>
      </c>
      <c r="E16" s="93">
        <v>0</v>
      </c>
      <c r="F16" s="93">
        <f>'расчет вложения'!D127+'расчет вложения'!E82</f>
        <v>184.05</v>
      </c>
      <c r="G16" s="93" t="e">
        <f>'расчет вложения'!#REF!+80+'расчет вложения'!E226</f>
        <v>#REF!</v>
      </c>
      <c r="H16" s="93">
        <f>'расчет вложения'!E247+'расчет вложения'!E286</f>
        <v>125</v>
      </c>
      <c r="I16" s="93">
        <v>80</v>
      </c>
      <c r="J16" s="93">
        <f>'расчет вложения'!E429</f>
        <v>30</v>
      </c>
      <c r="K16" s="93">
        <f>'расчет вложения'!E457</f>
        <v>150</v>
      </c>
      <c r="L16" s="93">
        <f>'расчет вложения'!G575+100</f>
        <v>109.181</v>
      </c>
      <c r="M16" s="93">
        <f>'расчет вложения'!E652+'расчет вложения'!E588</f>
        <v>10.25</v>
      </c>
      <c r="N16" s="93">
        <f>'расчет вложения'!E710+'расчет вложения'!E669</f>
        <v>125</v>
      </c>
      <c r="O16" s="151" t="e">
        <f t="shared" si="0"/>
        <v>#REF!</v>
      </c>
      <c r="P16" s="94" t="e">
        <f t="shared" si="1"/>
        <v>#REF!</v>
      </c>
    </row>
    <row r="17" spans="1:17" s="2" customFormat="1" ht="11.5" customHeight="1" x14ac:dyDescent="0.3">
      <c r="A17" s="92">
        <v>9</v>
      </c>
      <c r="B17" s="10" t="s">
        <v>25</v>
      </c>
      <c r="C17" s="10" t="s">
        <v>18</v>
      </c>
      <c r="D17" s="93">
        <f>9*85/100</f>
        <v>7.65</v>
      </c>
      <c r="E17" s="410">
        <f>'расчет вложения'!E43</f>
        <v>15</v>
      </c>
      <c r="F17" s="410">
        <f>'расчет вложения'!E68</f>
        <v>9</v>
      </c>
      <c r="G17" s="410">
        <v>0</v>
      </c>
      <c r="H17" s="410">
        <f>0</f>
        <v>0</v>
      </c>
      <c r="I17" s="410">
        <f>'расчет вложения'!D355+'расчет вложения'!E376</f>
        <v>16.79</v>
      </c>
      <c r="J17" s="410">
        <v>0</v>
      </c>
      <c r="K17" s="410">
        <v>0</v>
      </c>
      <c r="L17" s="410">
        <f>'расчет вложения'!E575</f>
        <v>9.1809999999999992</v>
      </c>
      <c r="M17" s="410">
        <f>'расчет вложения'!E635</f>
        <v>15</v>
      </c>
      <c r="N17" s="410">
        <v>0</v>
      </c>
      <c r="O17" s="506">
        <f t="shared" si="0"/>
        <v>6.4971000000000005</v>
      </c>
      <c r="P17" s="489">
        <f t="shared" si="1"/>
        <v>-15.07058823529411</v>
      </c>
      <c r="Q17" s="3"/>
    </row>
    <row r="18" spans="1:17" s="2" customFormat="1" ht="11.5" customHeight="1" x14ac:dyDescent="0.3">
      <c r="A18" s="92">
        <v>10</v>
      </c>
      <c r="B18" s="10" t="s">
        <v>26</v>
      </c>
      <c r="C18" s="10" t="s">
        <v>18</v>
      </c>
      <c r="D18" s="93">
        <f>12*85/100</f>
        <v>10.199999999999999</v>
      </c>
      <c r="E18" s="93">
        <v>30</v>
      </c>
      <c r="F18" s="93">
        <v>0</v>
      </c>
      <c r="G18" s="93">
        <v>35</v>
      </c>
      <c r="H18" s="93">
        <v>0</v>
      </c>
      <c r="I18" s="93">
        <v>0</v>
      </c>
      <c r="J18" s="93">
        <f>'расчет вложения'!E443</f>
        <v>10</v>
      </c>
      <c r="K18" s="93">
        <v>0</v>
      </c>
      <c r="L18" s="93">
        <v>0</v>
      </c>
      <c r="M18" s="93">
        <v>0</v>
      </c>
      <c r="N18" s="93">
        <f>'расчет вложения'!E735</f>
        <v>16.7</v>
      </c>
      <c r="O18" s="151">
        <f t="shared" si="0"/>
        <v>9.17</v>
      </c>
      <c r="P18" s="94">
        <f t="shared" si="1"/>
        <v>-10.098039215686271</v>
      </c>
      <c r="Q18" s="3"/>
    </row>
    <row r="19" spans="1:17" s="2" customFormat="1" ht="11.5" customHeight="1" x14ac:dyDescent="0.3">
      <c r="A19" s="92">
        <v>11</v>
      </c>
      <c r="B19" s="10" t="s">
        <v>27</v>
      </c>
      <c r="C19" s="10" t="s">
        <v>18</v>
      </c>
      <c r="D19" s="93">
        <f>25*85/100</f>
        <v>21.25</v>
      </c>
      <c r="E19" s="410">
        <f>'расчет вложения'!E6+'расчет вложения'!E14+'расчет вложения'!E44</f>
        <v>20.25</v>
      </c>
      <c r="F19" s="410">
        <v>37.200000000000003</v>
      </c>
      <c r="G19" s="410">
        <v>36.1</v>
      </c>
      <c r="H19" s="410">
        <f>'расчет вложения'!E237+'расчет вложения'!E243+'расчет вложения'!E252+'расчет вложения'!E306+'расчет вложения'!E288+'расчет вложения'!E299</f>
        <v>33.76</v>
      </c>
      <c r="I19" s="410">
        <f>'расчет вложения'!E356+'расчет вложения'!E373</f>
        <v>10.57</v>
      </c>
      <c r="J19" s="410">
        <f>'расчет вложения'!E387+'расчет вложения'!E430+'расчет вложения'!E727</f>
        <v>19.576000000000001</v>
      </c>
      <c r="K19" s="410">
        <f>'расчет вложения'!E456+'расчет вложения'!E499+'расчет вложения'!E505-10</f>
        <v>19.420000000000002</v>
      </c>
      <c r="L19" s="410">
        <f>'расчет вложения'!E518+'расчет вложения'!E556+'расчет вложения'!E570</f>
        <v>28</v>
      </c>
      <c r="M19" s="410">
        <f>'расчет вложения'!E654+'расчет вложения'!E636+'расчет вложения'!E589+'расчет вложения'!E583</f>
        <v>30.75</v>
      </c>
      <c r="N19" s="410">
        <f>'расчет вложения'!E712+'расчет вложения'!E685</f>
        <v>15.84</v>
      </c>
      <c r="O19" s="506">
        <f t="shared" si="0"/>
        <v>25.146599999999999</v>
      </c>
      <c r="P19" s="489">
        <f t="shared" si="1"/>
        <v>18.336941176470589</v>
      </c>
      <c r="Q19" s="3"/>
    </row>
    <row r="20" spans="1:17" s="2" customFormat="1" ht="11.5" customHeight="1" x14ac:dyDescent="0.3">
      <c r="A20" s="92">
        <v>12</v>
      </c>
      <c r="B20" s="10" t="s">
        <v>28</v>
      </c>
      <c r="C20" s="10" t="s">
        <v>18</v>
      </c>
      <c r="D20" s="93">
        <f>18*85/100</f>
        <v>15.3</v>
      </c>
      <c r="E20" s="93">
        <f>'расчет вложения'!E5+'расчет вложения'!E12+'расчет вложения'!E32+'расчет вложения'!E54</f>
        <v>13.7</v>
      </c>
      <c r="F20" s="93">
        <f>'расчет вложения'!E70+'расчет вложения'!E113+'расчет вложения'!E125+'расчет вложения'!E136+'расчет вложения'!E96</f>
        <v>12.46</v>
      </c>
      <c r="G20" s="93">
        <v>16.5</v>
      </c>
      <c r="H20" s="93">
        <v>11.1</v>
      </c>
      <c r="I20" s="93">
        <v>14.2</v>
      </c>
      <c r="J20" s="93">
        <v>15.1</v>
      </c>
      <c r="K20" s="93">
        <f>21.2-5</f>
        <v>16.2</v>
      </c>
      <c r="L20" s="93">
        <f>20.5-5</f>
        <v>15.5</v>
      </c>
      <c r="M20" s="93">
        <v>17.600000000000001</v>
      </c>
      <c r="N20" s="93">
        <v>19.2</v>
      </c>
      <c r="O20" s="151">
        <f t="shared" si="0"/>
        <v>15.155999999999997</v>
      </c>
      <c r="P20" s="94">
        <f t="shared" si="1"/>
        <v>-0.94117647058824616</v>
      </c>
      <c r="Q20" s="3"/>
    </row>
    <row r="21" spans="1:17" s="2" customFormat="1" ht="11.5" customHeight="1" x14ac:dyDescent="0.3">
      <c r="A21" s="92">
        <v>13</v>
      </c>
      <c r="B21" s="10" t="s">
        <v>29</v>
      </c>
      <c r="C21" s="10" t="s">
        <v>18</v>
      </c>
      <c r="D21" s="93">
        <f>9*85/100</f>
        <v>7.65</v>
      </c>
      <c r="E21" s="410">
        <f>'расчет вложения'!E21+'расчет вложения'!E30+'расчет вложения'!E39</f>
        <v>8.8000000000000007</v>
      </c>
      <c r="F21" s="410">
        <f>'расчет вложения'!E84+'расчет вложения'!E105</f>
        <v>3.8</v>
      </c>
      <c r="G21" s="410">
        <f>'расчет вложения'!E179+'расчет вложения'!E180+'расчет вложения'!E214+'расчет вложения'!E200</f>
        <v>15.6</v>
      </c>
      <c r="H21" s="410">
        <f>'расчет вложения'!E280+'расчет вложения'!E260+'расчет вложения'!E249</f>
        <v>7</v>
      </c>
      <c r="I21" s="410">
        <f>'расчет вложения'!E324+'расчет вложения'!E333+'расчет вложения'!E341+'расчет вложения'!E368</f>
        <v>5.3999999999999995</v>
      </c>
      <c r="J21" s="410">
        <f>'расчет вложения'!E400+'расчет вложения'!E410+'расчет вложения'!E438+'расчет вложения'!E736</f>
        <v>6.4333333333333336</v>
      </c>
      <c r="K21" s="410">
        <f>'расчет вложения'!E449+'расчет вложения'!E459+'расчет вложения'!E466+'расчет вложения'!E474</f>
        <v>9.5</v>
      </c>
      <c r="L21" s="410">
        <f>'расчет вложения'!E528+'расчет вложения'!E536+'расчет вложения'!E548+'расчет вложения'!E564+'расчет вложения'!E577</f>
        <v>8.75</v>
      </c>
      <c r="M21" s="410">
        <f>'расчет вложения'!E598+'расчет вложения'!E609+'расчет вложения'!E628+'расчет вложения'!E647+'расчет вложения'!E648</f>
        <v>11</v>
      </c>
      <c r="N21" s="410">
        <f>'расчет вложения'!E674+'расчет вложения'!E681+'расчет вложения'!E694+'расчет вложения'!E719</f>
        <v>10</v>
      </c>
      <c r="O21" s="506">
        <f t="shared" si="0"/>
        <v>8.6283333333333339</v>
      </c>
      <c r="P21" s="489">
        <f t="shared" si="1"/>
        <v>12.788671023965151</v>
      </c>
      <c r="Q21" s="3"/>
    </row>
    <row r="22" spans="1:17" s="2" customFormat="1" ht="11.5" customHeight="1" x14ac:dyDescent="0.3">
      <c r="A22" s="92">
        <v>14</v>
      </c>
      <c r="B22" s="10" t="s">
        <v>30</v>
      </c>
      <c r="C22" s="10" t="s">
        <v>18</v>
      </c>
      <c r="D22" s="93">
        <f>0.5*85/100</f>
        <v>0.42499999999999999</v>
      </c>
      <c r="E22" s="93">
        <f t="shared" ref="E22:N22" si="2">0.5*85/100</f>
        <v>0.42499999999999999</v>
      </c>
      <c r="F22" s="93">
        <f t="shared" si="2"/>
        <v>0.42499999999999999</v>
      </c>
      <c r="G22" s="93">
        <f t="shared" si="2"/>
        <v>0.42499999999999999</v>
      </c>
      <c r="H22" s="93">
        <f t="shared" si="2"/>
        <v>0.42499999999999999</v>
      </c>
      <c r="I22" s="93">
        <f t="shared" si="2"/>
        <v>0.42499999999999999</v>
      </c>
      <c r="J22" s="93">
        <f t="shared" si="2"/>
        <v>0.42499999999999999</v>
      </c>
      <c r="K22" s="93">
        <f t="shared" si="2"/>
        <v>0.42499999999999999</v>
      </c>
      <c r="L22" s="93">
        <f t="shared" si="2"/>
        <v>0.42499999999999999</v>
      </c>
      <c r="M22" s="93">
        <f t="shared" si="2"/>
        <v>0.42499999999999999</v>
      </c>
      <c r="N22" s="93">
        <f t="shared" si="2"/>
        <v>0.42499999999999999</v>
      </c>
      <c r="O22" s="151">
        <f t="shared" si="0"/>
        <v>0.42499999999999993</v>
      </c>
      <c r="P22" s="94">
        <f t="shared" si="1"/>
        <v>0</v>
      </c>
      <c r="Q22" s="3"/>
    </row>
    <row r="23" spans="1:17" s="2" customFormat="1" ht="11.5" customHeight="1" x14ac:dyDescent="0.3">
      <c r="A23" s="92">
        <v>15</v>
      </c>
      <c r="B23" s="10" t="s">
        <v>534</v>
      </c>
      <c r="C23" s="10" t="s">
        <v>18</v>
      </c>
      <c r="D23" s="149">
        <f>50*85/100</f>
        <v>42.5</v>
      </c>
      <c r="E23" s="93">
        <f>'расчет вложения'!E38</f>
        <v>81</v>
      </c>
      <c r="F23" s="93">
        <f>'расчет вложения'!E133</f>
        <v>22.5</v>
      </c>
      <c r="G23" s="93">
        <f>'расчет вложения'!E193-10</f>
        <v>70</v>
      </c>
      <c r="H23" s="93">
        <v>17.5</v>
      </c>
      <c r="I23" s="93">
        <v>0</v>
      </c>
      <c r="J23" s="93">
        <f>'расчет вложения'!E415</f>
        <v>96</v>
      </c>
      <c r="K23" s="93">
        <f>'расчет вложения'!E475</f>
        <v>22.8</v>
      </c>
      <c r="L23" s="93">
        <f>'расчет вложения'!E560</f>
        <v>55</v>
      </c>
      <c r="M23" s="93">
        <f>'расчет вложения'!E613</f>
        <v>38</v>
      </c>
      <c r="N23" s="93">
        <v>0</v>
      </c>
      <c r="O23" s="151">
        <f t="shared" si="0"/>
        <v>40.28</v>
      </c>
      <c r="P23" s="94">
        <f t="shared" si="1"/>
        <v>-5.2235294117647015</v>
      </c>
      <c r="Q23" s="3"/>
    </row>
    <row r="24" spans="1:17" s="2" customFormat="1" ht="11.5" customHeight="1" x14ac:dyDescent="0.3">
      <c r="A24" s="92">
        <v>16</v>
      </c>
      <c r="B24" s="10" t="s">
        <v>31</v>
      </c>
      <c r="C24" s="10" t="s">
        <v>18</v>
      </c>
      <c r="D24" s="93">
        <f>32*85/100</f>
        <v>27.2</v>
      </c>
      <c r="E24" s="410">
        <v>0</v>
      </c>
      <c r="F24" s="410">
        <f>'расчет вложения'!D99</f>
        <v>61.16393442622951</v>
      </c>
      <c r="G24" s="476">
        <v>0</v>
      </c>
      <c r="H24" s="410">
        <f>0</f>
        <v>0</v>
      </c>
      <c r="I24" s="410">
        <f>'расчет вложения'!E336</f>
        <v>41</v>
      </c>
      <c r="J24" s="410">
        <v>0</v>
      </c>
      <c r="K24" s="410">
        <v>0</v>
      </c>
      <c r="L24" s="410">
        <f>'расчет вложения'!E539</f>
        <v>59.5</v>
      </c>
      <c r="M24" s="410">
        <f>'расчет вложения'!D651</f>
        <v>0</v>
      </c>
      <c r="N24" s="410">
        <f>'расчет вложения'!E687</f>
        <v>37</v>
      </c>
      <c r="O24" s="506">
        <f t="shared" si="0"/>
        <v>19.86639344262295</v>
      </c>
      <c r="P24" s="489">
        <f t="shared" si="1"/>
        <v>-26.961788813886216</v>
      </c>
      <c r="Q24" s="3"/>
    </row>
    <row r="25" spans="1:17" s="2" customFormat="1" ht="11.5" customHeight="1" x14ac:dyDescent="0.3">
      <c r="A25" s="92">
        <v>17</v>
      </c>
      <c r="B25" s="10" t="s">
        <v>191</v>
      </c>
      <c r="C25" s="10" t="s">
        <v>18</v>
      </c>
      <c r="D25" s="93">
        <f>390*85/100</f>
        <v>331.5</v>
      </c>
      <c r="E25" s="410">
        <f>'расчет вложения'!E3+'расчет вложения'!E15+'расчет вложения'!E34+'расчет вложения'!E52+'расчет вложения'!E58</f>
        <v>198.85999999999999</v>
      </c>
      <c r="F25" s="505">
        <f>'расчет вложения'!E79+'расчет вложения'!G103+'расчет вложения'!G123</f>
        <v>133.5</v>
      </c>
      <c r="G25" s="410">
        <f>'расчет вложения'!E157+'расчет вложения'!E168</f>
        <v>206.4</v>
      </c>
      <c r="H25" s="410">
        <f>'расчет вложения'!E308+'расчет вложения'!E244+'расчет вложения'!E234+'расчет вложения'!E265+'расчет вложения'!E302</f>
        <v>377</v>
      </c>
      <c r="I25" s="410">
        <f>'расчет вложения'!E378+'расчет вложения'!E351+'расчет вложения'!E345+'расчет вложения'!E320+'расчет вложения'!E313</f>
        <v>207.5</v>
      </c>
      <c r="J25" s="410">
        <f>'расчет вложения'!E383+'расчет вложения'!E440+'расчет вложения'!E444</f>
        <v>88.166666666666671</v>
      </c>
      <c r="K25" s="410">
        <f>'расчет вложения'!E448+'расчет вложения'!E455+'расчет вложения'!E490+'расчет вложения'!E492+'расчет вложения'!E510</f>
        <v>139.86666666666667</v>
      </c>
      <c r="L25" s="410">
        <f>'расчет вложения'!E514+'расчет вложения'!E545+'расчет вложения'!E526</f>
        <v>211.6</v>
      </c>
      <c r="M25" s="410">
        <f>'расчет вложения'!E595</f>
        <v>150</v>
      </c>
      <c r="N25" s="410">
        <f>'расчет вложения'!E724+'расчет вложения'!E706++'расчет вложения'!E667+'расчет вложения'!E660</f>
        <v>198.7</v>
      </c>
      <c r="O25" s="506">
        <f t="shared" si="0"/>
        <v>191.15933333333334</v>
      </c>
      <c r="P25" s="489">
        <f t="shared" si="1"/>
        <v>-42.335042735042734</v>
      </c>
      <c r="Q25" s="3"/>
    </row>
    <row r="26" spans="1:17" s="2" customFormat="1" ht="11.5" customHeight="1" x14ac:dyDescent="0.3">
      <c r="A26" s="92">
        <v>18</v>
      </c>
      <c r="B26" s="10" t="s">
        <v>33</v>
      </c>
      <c r="C26" s="10" t="s">
        <v>18</v>
      </c>
      <c r="D26" s="93">
        <f>30*85/100</f>
        <v>25.5</v>
      </c>
      <c r="E26" s="93">
        <v>0</v>
      </c>
      <c r="F26" s="93">
        <f>'расчет вложения'!E64</f>
        <v>67.5</v>
      </c>
      <c r="G26" s="93">
        <v>0</v>
      </c>
      <c r="H26" s="93">
        <f>'расчет вложения'!E295</f>
        <v>37.5</v>
      </c>
      <c r="I26" s="93">
        <v>0</v>
      </c>
      <c r="J26" s="93">
        <v>0</v>
      </c>
      <c r="K26" s="93">
        <f>'расчет вложения'!E503</f>
        <v>46.74</v>
      </c>
      <c r="L26" s="93">
        <v>0</v>
      </c>
      <c r="M26" s="93">
        <f>'расчет вложения'!E581</f>
        <v>92</v>
      </c>
      <c r="N26" s="93">
        <v>0</v>
      </c>
      <c r="O26" s="151">
        <f t="shared" si="0"/>
        <v>24.374000000000002</v>
      </c>
      <c r="P26" s="94">
        <f t="shared" si="1"/>
        <v>-4.4156862745097953</v>
      </c>
      <c r="Q26" s="3"/>
    </row>
    <row r="27" spans="1:17" s="2" customFormat="1" ht="11.5" customHeight="1" x14ac:dyDescent="0.3">
      <c r="A27" s="92">
        <v>19</v>
      </c>
      <c r="B27" s="10" t="s">
        <v>34</v>
      </c>
      <c r="C27" s="10" t="s">
        <v>18</v>
      </c>
      <c r="D27" s="93">
        <f>9*85/100</f>
        <v>7.65</v>
      </c>
      <c r="E27" s="93">
        <v>0</v>
      </c>
      <c r="F27" s="93">
        <v>13.5</v>
      </c>
      <c r="G27" s="93">
        <f>'расчет вложения'!E217</f>
        <v>12.5</v>
      </c>
      <c r="H27" s="93">
        <f>'расчет вложения'!E300</f>
        <v>2</v>
      </c>
      <c r="I27" s="93">
        <f>20-5</f>
        <v>15</v>
      </c>
      <c r="J27" s="93">
        <f>'расчет вложения'!E413</f>
        <v>0</v>
      </c>
      <c r="K27" s="93">
        <v>0</v>
      </c>
      <c r="L27" s="93">
        <v>0</v>
      </c>
      <c r="M27" s="93">
        <f>'расчет вложения'!E623+'расчет вложения'!E587</f>
        <v>19</v>
      </c>
      <c r="N27" s="93">
        <f>'расчет вложения'!E686+'расчет вложения'!E698</f>
        <v>15</v>
      </c>
      <c r="O27" s="151">
        <f t="shared" si="0"/>
        <v>7.7</v>
      </c>
      <c r="P27" s="94">
        <f t="shared" si="1"/>
        <v>0.65359477124182774</v>
      </c>
      <c r="Q27" s="3"/>
    </row>
    <row r="28" spans="1:17" s="2" customFormat="1" ht="11.5" customHeight="1" x14ac:dyDescent="0.3">
      <c r="A28" s="92">
        <v>20</v>
      </c>
      <c r="B28" s="10" t="s">
        <v>35</v>
      </c>
      <c r="C28" s="10" t="s">
        <v>18</v>
      </c>
      <c r="D28" s="93">
        <f>4*85/100</f>
        <v>3.4</v>
      </c>
      <c r="E28" s="93">
        <f>'расчет вложения'!E11</f>
        <v>0</v>
      </c>
      <c r="F28" s="93">
        <v>0</v>
      </c>
      <c r="G28" s="93">
        <f>'расчет вложения'!E164</f>
        <v>5</v>
      </c>
      <c r="H28" s="93">
        <v>0</v>
      </c>
      <c r="I28" s="93">
        <v>0</v>
      </c>
      <c r="J28" s="93">
        <f>'расчет вложения'!E390</f>
        <v>5</v>
      </c>
      <c r="K28" s="93">
        <v>15.4</v>
      </c>
      <c r="L28" s="93">
        <f>'расчет вложения'!E529</f>
        <v>4.5</v>
      </c>
      <c r="M28" s="93">
        <f>0</f>
        <v>0</v>
      </c>
      <c r="N28" s="93">
        <v>3</v>
      </c>
      <c r="O28" s="151">
        <f t="shared" si="0"/>
        <v>3.29</v>
      </c>
      <c r="P28" s="94">
        <f t="shared" si="1"/>
        <v>-3.235294117647058</v>
      </c>
      <c r="Q28" s="3"/>
    </row>
    <row r="29" spans="1:17" s="2" customFormat="1" ht="11.5" customHeight="1" x14ac:dyDescent="0.3">
      <c r="A29" s="92">
        <v>21</v>
      </c>
      <c r="B29" s="10" t="s">
        <v>36</v>
      </c>
      <c r="C29" s="10" t="s">
        <v>37</v>
      </c>
      <c r="D29" s="93">
        <f>40*85/100</f>
        <v>34</v>
      </c>
      <c r="E29" s="93">
        <f>'расчет вложения'!E51+'расчет вложения'!E33</f>
        <v>31.76</v>
      </c>
      <c r="F29" s="93">
        <f>'расчет вложения'!E67+'расчет вложения'!E138</f>
        <v>6.5</v>
      </c>
      <c r="G29" s="93">
        <v>0</v>
      </c>
      <c r="H29" s="93">
        <f>'расчет вложения'!E297</f>
        <v>3</v>
      </c>
      <c r="I29" s="93">
        <f>'расчет вложения'!E312+'расчет вложения'!E344+'расчет вложения'!E375</f>
        <v>88.07</v>
      </c>
      <c r="J29" s="93">
        <f>'расчет вложения'!E439</f>
        <v>17.333333333333332</v>
      </c>
      <c r="K29" s="93">
        <f>'расчет вложения'!E447+'расчет вложения'!E477+'расчет вложения'!E506</f>
        <v>75</v>
      </c>
      <c r="L29" s="93">
        <f>'расчет вложения'!E572+'расчет вложения'!E565+'расчет вложения'!E546</f>
        <v>14.4</v>
      </c>
      <c r="M29" s="93">
        <f>'расчет вложения'!E604+'расчет вложения'!E584</f>
        <v>6.1</v>
      </c>
      <c r="N29" s="93">
        <f>'расчет вложения'!E659+'расчет вложения'!E729+'расчет вложения'!E730</f>
        <v>94.325999999999993</v>
      </c>
      <c r="O29" s="151">
        <f t="shared" si="0"/>
        <v>33.648933333333332</v>
      </c>
      <c r="P29" s="94">
        <f t="shared" si="1"/>
        <v>-1.0325490196078562</v>
      </c>
      <c r="Q29" s="3"/>
    </row>
    <row r="30" spans="1:17" s="2" customFormat="1" ht="11.5" customHeight="1" x14ac:dyDescent="0.3">
      <c r="A30" s="92">
        <v>22</v>
      </c>
      <c r="B30" s="10" t="s">
        <v>38</v>
      </c>
      <c r="C30" s="10" t="s">
        <v>18</v>
      </c>
      <c r="D30" s="93">
        <f>1.5*85/100</f>
        <v>1.2749999999999999</v>
      </c>
      <c r="E30" s="93">
        <v>1.3</v>
      </c>
      <c r="F30" s="93">
        <v>1.3</v>
      </c>
      <c r="G30" s="93">
        <v>1.3</v>
      </c>
      <c r="H30" s="93">
        <v>1.3</v>
      </c>
      <c r="I30" s="93">
        <v>1.3</v>
      </c>
      <c r="J30" s="93">
        <v>1.3</v>
      </c>
      <c r="K30" s="93">
        <v>1.3</v>
      </c>
      <c r="L30" s="93">
        <v>1.3</v>
      </c>
      <c r="M30" s="93">
        <v>1.3</v>
      </c>
      <c r="N30" s="93">
        <v>1.3</v>
      </c>
      <c r="O30" s="151">
        <f t="shared" si="0"/>
        <v>1.3000000000000003</v>
      </c>
      <c r="P30" s="94">
        <f t="shared" si="1"/>
        <v>1.9607843137255117</v>
      </c>
      <c r="Q30" s="3"/>
    </row>
    <row r="31" spans="1:17" s="2" customFormat="1" ht="11.5" customHeight="1" x14ac:dyDescent="0.3">
      <c r="A31" s="92">
        <v>23</v>
      </c>
      <c r="B31" s="10" t="s">
        <v>39</v>
      </c>
      <c r="C31" s="10" t="s">
        <v>18</v>
      </c>
      <c r="D31" s="93">
        <f>3*85/100</f>
        <v>2.5499999999999998</v>
      </c>
      <c r="E31" s="93">
        <v>2.6</v>
      </c>
      <c r="F31" s="93">
        <v>2.6</v>
      </c>
      <c r="G31" s="93">
        <v>2.6</v>
      </c>
      <c r="H31" s="93">
        <v>2.6</v>
      </c>
      <c r="I31" s="93">
        <v>2.6</v>
      </c>
      <c r="J31" s="93">
        <v>2.6</v>
      </c>
      <c r="K31" s="93">
        <v>2.6</v>
      </c>
      <c r="L31" s="93">
        <v>2.6</v>
      </c>
      <c r="M31" s="93">
        <v>2.6</v>
      </c>
      <c r="N31" s="93">
        <v>2.6</v>
      </c>
      <c r="O31" s="151">
        <f t="shared" si="0"/>
        <v>2.6000000000000005</v>
      </c>
      <c r="P31" s="94">
        <f t="shared" si="1"/>
        <v>1.9607843137255117</v>
      </c>
      <c r="Q31" s="3"/>
    </row>
    <row r="32" spans="1:17" s="2" customFormat="1" ht="11.5" customHeight="1" x14ac:dyDescent="0.3">
      <c r="A32" s="92">
        <v>24</v>
      </c>
      <c r="B32" s="10" t="s">
        <v>40</v>
      </c>
      <c r="C32" s="10" t="s">
        <v>18</v>
      </c>
      <c r="D32" s="93">
        <f>0.4*85/100</f>
        <v>0.34</v>
      </c>
      <c r="E32" s="93">
        <f t="shared" ref="E32:N32" si="3">0.4*85/100</f>
        <v>0.34</v>
      </c>
      <c r="F32" s="93">
        <f t="shared" si="3"/>
        <v>0.34</v>
      </c>
      <c r="G32" s="93">
        <f t="shared" si="3"/>
        <v>0.34</v>
      </c>
      <c r="H32" s="93">
        <f t="shared" si="3"/>
        <v>0.34</v>
      </c>
      <c r="I32" s="93">
        <f t="shared" si="3"/>
        <v>0.34</v>
      </c>
      <c r="J32" s="93">
        <f t="shared" si="3"/>
        <v>0.34</v>
      </c>
      <c r="K32" s="93">
        <f t="shared" si="3"/>
        <v>0.34</v>
      </c>
      <c r="L32" s="93">
        <f t="shared" si="3"/>
        <v>0.34</v>
      </c>
      <c r="M32" s="93">
        <f t="shared" si="3"/>
        <v>0.34</v>
      </c>
      <c r="N32" s="93">
        <f t="shared" si="3"/>
        <v>0.34</v>
      </c>
      <c r="O32" s="151">
        <f t="shared" si="0"/>
        <v>0.33999999999999997</v>
      </c>
      <c r="P32" s="94">
        <f t="shared" si="1"/>
        <v>0</v>
      </c>
      <c r="Q32" s="3"/>
    </row>
    <row r="33" spans="1:17" s="2" customFormat="1" ht="11.5" customHeight="1" x14ac:dyDescent="0.3">
      <c r="A33" s="92">
        <v>25</v>
      </c>
      <c r="B33" s="10" t="s">
        <v>41</v>
      </c>
      <c r="C33" s="10" t="s">
        <v>18</v>
      </c>
      <c r="D33" s="93">
        <f>20*85/100</f>
        <v>17</v>
      </c>
      <c r="E33" s="93">
        <f>'расчет вложения'!E37</f>
        <v>0</v>
      </c>
      <c r="F33" s="93">
        <f>'расчет вложения'!E97-13.7</f>
        <v>-3.3333333333333215E-2</v>
      </c>
      <c r="G33" s="93">
        <f>'расчет вложения'!E191</f>
        <v>0</v>
      </c>
      <c r="H33" s="93">
        <v>38</v>
      </c>
      <c r="I33" s="93" t="e">
        <f>'расчет вложения'!#REF!</f>
        <v>#REF!</v>
      </c>
      <c r="J33" s="93">
        <f>'расчет вложения'!E412</f>
        <v>11.3</v>
      </c>
      <c r="K33" s="93">
        <f>'расчет вложения'!E484</f>
        <v>32</v>
      </c>
      <c r="L33" s="93">
        <f>'расчет вложения'!E538-13.7</f>
        <v>-13.7</v>
      </c>
      <c r="M33" s="93">
        <f>'расчет вложения'!E612</f>
        <v>11.333333333333334</v>
      </c>
      <c r="N33" s="93">
        <v>47</v>
      </c>
      <c r="O33" s="151" t="e">
        <f t="shared" si="0"/>
        <v>#REF!</v>
      </c>
      <c r="P33" s="94" t="e">
        <f t="shared" si="1"/>
        <v>#REF!</v>
      </c>
      <c r="Q33" s="3"/>
    </row>
    <row r="34" spans="1:17" s="2" customFormat="1" ht="11.5" customHeight="1" x14ac:dyDescent="0.3">
      <c r="A34" s="92">
        <v>27</v>
      </c>
      <c r="B34" s="10" t="s">
        <v>42</v>
      </c>
      <c r="C34" s="10" t="s">
        <v>43</v>
      </c>
      <c r="D34" s="93">
        <f>100*85/100</f>
        <v>85</v>
      </c>
      <c r="E34" s="93">
        <f>'расчет вложения'!E17</f>
        <v>200</v>
      </c>
      <c r="F34" s="93">
        <v>0</v>
      </c>
      <c r="G34" s="93">
        <v>0</v>
      </c>
      <c r="H34" s="93">
        <v>0</v>
      </c>
      <c r="I34" s="93">
        <f>'расчет вложения'!E322</f>
        <v>200</v>
      </c>
      <c r="J34" s="93">
        <f>'расчет вложения'!E394</f>
        <v>200</v>
      </c>
      <c r="K34" s="93">
        <f>'расчет вложения'!E497</f>
        <v>45</v>
      </c>
      <c r="L34" s="93">
        <f>'расчет вложения'!E526</f>
        <v>100</v>
      </c>
      <c r="M34" s="93">
        <v>0</v>
      </c>
      <c r="N34" s="93">
        <v>0</v>
      </c>
      <c r="O34" s="151">
        <f t="shared" si="0"/>
        <v>74.5</v>
      </c>
      <c r="P34" s="94">
        <f t="shared" si="1"/>
        <v>-12.35294117647058</v>
      </c>
      <c r="Q34" s="3"/>
    </row>
    <row r="35" spans="1:17" s="2" customFormat="1" ht="11.5" customHeight="1" x14ac:dyDescent="0.3">
      <c r="A35" s="92">
        <v>28</v>
      </c>
      <c r="B35" s="10" t="s">
        <v>44</v>
      </c>
      <c r="C35" s="10"/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151">
        <f t="shared" si="0"/>
        <v>0</v>
      </c>
      <c r="P35" s="94">
        <v>0</v>
      </c>
      <c r="Q35" s="3"/>
    </row>
    <row r="36" spans="1:17" s="2" customFormat="1" ht="11.5" customHeight="1" x14ac:dyDescent="0.3">
      <c r="A36" s="92">
        <v>29</v>
      </c>
      <c r="B36" s="10" t="s">
        <v>45</v>
      </c>
      <c r="C36" s="10" t="s">
        <v>18</v>
      </c>
      <c r="D36" s="93">
        <f>8*85/100</f>
        <v>6.8</v>
      </c>
      <c r="E36" s="93">
        <v>0</v>
      </c>
      <c r="F36" s="93">
        <v>0</v>
      </c>
      <c r="G36" s="93">
        <v>0</v>
      </c>
      <c r="H36" s="93">
        <v>0</v>
      </c>
      <c r="I36" s="93">
        <v>0</v>
      </c>
      <c r="J36" s="93">
        <f>'расчет вложения'!E435</f>
        <v>36.4</v>
      </c>
      <c r="K36" s="93">
        <v>0</v>
      </c>
      <c r="L36" s="93">
        <f>'расчет вложения'!D562</f>
        <v>33</v>
      </c>
      <c r="M36" s="93">
        <v>0</v>
      </c>
      <c r="N36" s="93">
        <v>0</v>
      </c>
      <c r="O36" s="151">
        <f t="shared" si="0"/>
        <v>6.94</v>
      </c>
      <c r="P36" s="94">
        <f>O36/D36%-100</f>
        <v>2.058823529411768</v>
      </c>
      <c r="Q36" s="3"/>
    </row>
    <row r="37" spans="1:17" s="2" customFormat="1" ht="11.5" customHeight="1" thickBot="1" x14ac:dyDescent="0.35">
      <c r="A37" s="28">
        <v>30</v>
      </c>
      <c r="B37" s="12" t="s">
        <v>271</v>
      </c>
      <c r="C37" s="12"/>
      <c r="D37" s="12">
        <f>20*85/100</f>
        <v>17</v>
      </c>
      <c r="E37" s="413">
        <v>0</v>
      </c>
      <c r="F37" s="413">
        <v>0</v>
      </c>
      <c r="G37" s="413">
        <f>'расчет вложения'!E213</f>
        <v>74</v>
      </c>
      <c r="H37" s="413">
        <v>0</v>
      </c>
      <c r="I37" s="413">
        <v>0</v>
      </c>
      <c r="J37" s="413">
        <v>0</v>
      </c>
      <c r="K37" s="413">
        <v>0</v>
      </c>
      <c r="L37" s="413">
        <v>0</v>
      </c>
      <c r="M37" s="413">
        <f>'расчет вложения'!E645</f>
        <v>31</v>
      </c>
      <c r="N37" s="413">
        <v>0</v>
      </c>
      <c r="O37" s="506">
        <f t="shared" si="0"/>
        <v>10.5</v>
      </c>
      <c r="P37" s="501">
        <f>O37/D37%-100</f>
        <v>-38.235294117647065</v>
      </c>
      <c r="Q37" s="3"/>
    </row>
    <row r="38" spans="1:17" s="60" customFormat="1" x14ac:dyDescent="0.3">
      <c r="A38" s="14"/>
      <c r="B38" s="204"/>
      <c r="C38" s="14"/>
      <c r="D38" s="14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46"/>
    </row>
    <row r="39" spans="1:17" s="1" customFormat="1" ht="15.5" x14ac:dyDescent="0.35">
      <c r="A39" s="14"/>
      <c r="B39" s="200" t="s">
        <v>363</v>
      </c>
      <c r="C39" s="201"/>
      <c r="D39" s="201"/>
      <c r="E39" s="202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58"/>
    </row>
    <row r="40" spans="1:17" s="1" customFormat="1" ht="15.5" x14ac:dyDescent="0.35">
      <c r="A40" s="14"/>
      <c r="B40" s="200" t="s">
        <v>366</v>
      </c>
      <c r="C40" s="201"/>
      <c r="D40" s="201"/>
      <c r="E40" s="202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58"/>
    </row>
    <row r="41" spans="1:17" s="1" customFormat="1" ht="15.5" x14ac:dyDescent="0.35">
      <c r="A41" s="14"/>
      <c r="B41" s="200" t="s">
        <v>365</v>
      </c>
      <c r="C41" s="201"/>
      <c r="D41" s="201"/>
      <c r="E41" s="202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58"/>
    </row>
    <row r="42" spans="1:17" s="1" customFormat="1" ht="44.25" customHeight="1" x14ac:dyDescent="0.35">
      <c r="A42" s="14"/>
      <c r="B42" s="806" t="s">
        <v>367</v>
      </c>
      <c r="C42" s="806"/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58"/>
    </row>
    <row r="44" spans="1:17" x14ac:dyDescent="0.3">
      <c r="J44" s="205"/>
      <c r="O44" s="29"/>
      <c r="P44" s="29"/>
    </row>
  </sheetData>
  <mergeCells count="11">
    <mergeCell ref="A1:P1"/>
    <mergeCell ref="A2:P2"/>
    <mergeCell ref="A3:P3"/>
    <mergeCell ref="A4:P4"/>
    <mergeCell ref="B42:P42"/>
    <mergeCell ref="A5:A8"/>
    <mergeCell ref="B5:B8"/>
    <mergeCell ref="C5:D8"/>
    <mergeCell ref="E5:N7"/>
    <mergeCell ref="O5:O8"/>
    <mergeCell ref="P5:P8"/>
  </mergeCells>
  <phoneticPr fontId="2" type="noConversion"/>
  <pageMargins left="0.41" right="0.51" top="0.38" bottom="0.18" header="0.2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1"/>
  <sheetViews>
    <sheetView topLeftCell="A4" workbookViewId="0">
      <selection activeCell="T26" sqref="T26"/>
    </sheetView>
  </sheetViews>
  <sheetFormatPr defaultRowHeight="13" x14ac:dyDescent="0.3"/>
  <cols>
    <col min="1" max="1" width="3.7265625" style="29" customWidth="1"/>
    <col min="2" max="2" width="26.81640625" style="29" customWidth="1"/>
    <col min="3" max="3" width="4.26953125" style="29" customWidth="1"/>
    <col min="4" max="14" width="7.26953125" style="29" customWidth="1"/>
    <col min="15" max="15" width="8.7265625" style="29" customWidth="1"/>
    <col min="16" max="16" width="8.26953125" style="30" customWidth="1"/>
    <col min="17" max="17" width="9.1796875" style="2" customWidth="1"/>
  </cols>
  <sheetData>
    <row r="1" spans="1:17" ht="15" x14ac:dyDescent="0.3">
      <c r="A1" s="798" t="s">
        <v>355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</row>
    <row r="2" spans="1:17" x14ac:dyDescent="0.3">
      <c r="A2" s="799" t="s">
        <v>357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</row>
    <row r="3" spans="1:17" x14ac:dyDescent="0.3">
      <c r="A3" s="800" t="s">
        <v>374</v>
      </c>
      <c r="B3" s="801"/>
      <c r="C3" s="801"/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2"/>
    </row>
    <row r="4" spans="1:17" ht="13.5" thickBot="1" x14ac:dyDescent="0.35">
      <c r="A4" s="803" t="s">
        <v>159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  <c r="M4" s="804"/>
      <c r="N4" s="804"/>
      <c r="O4" s="804"/>
      <c r="P4" s="805"/>
    </row>
    <row r="5" spans="1:17" ht="16" customHeight="1" x14ac:dyDescent="0.25">
      <c r="A5" s="746" t="s">
        <v>15</v>
      </c>
      <c r="B5" s="808" t="s">
        <v>16</v>
      </c>
      <c r="C5" s="811" t="s">
        <v>359</v>
      </c>
      <c r="D5" s="812"/>
      <c r="E5" s="817" t="s">
        <v>360</v>
      </c>
      <c r="F5" s="818"/>
      <c r="G5" s="818"/>
      <c r="H5" s="818"/>
      <c r="I5" s="818"/>
      <c r="J5" s="818"/>
      <c r="K5" s="818"/>
      <c r="L5" s="818"/>
      <c r="M5" s="818"/>
      <c r="N5" s="819"/>
      <c r="O5" s="826" t="s">
        <v>361</v>
      </c>
      <c r="P5" s="826" t="s">
        <v>362</v>
      </c>
      <c r="Q5" s="3"/>
    </row>
    <row r="6" spans="1:17" ht="16" customHeight="1" x14ac:dyDescent="0.25">
      <c r="A6" s="747"/>
      <c r="B6" s="809"/>
      <c r="C6" s="813"/>
      <c r="D6" s="814"/>
      <c r="E6" s="820"/>
      <c r="F6" s="821"/>
      <c r="G6" s="821"/>
      <c r="H6" s="821"/>
      <c r="I6" s="821"/>
      <c r="J6" s="821"/>
      <c r="K6" s="821"/>
      <c r="L6" s="821"/>
      <c r="M6" s="821"/>
      <c r="N6" s="822"/>
      <c r="O6" s="827"/>
      <c r="P6" s="827"/>
      <c r="Q6" s="3"/>
    </row>
    <row r="7" spans="1:17" ht="16" customHeight="1" x14ac:dyDescent="0.25">
      <c r="A7" s="747"/>
      <c r="B7" s="809"/>
      <c r="C7" s="813"/>
      <c r="D7" s="814"/>
      <c r="E7" s="823"/>
      <c r="F7" s="824"/>
      <c r="G7" s="824"/>
      <c r="H7" s="824"/>
      <c r="I7" s="824"/>
      <c r="J7" s="824"/>
      <c r="K7" s="824"/>
      <c r="L7" s="824"/>
      <c r="M7" s="824"/>
      <c r="N7" s="825"/>
      <c r="O7" s="827"/>
      <c r="P7" s="827"/>
      <c r="Q7" s="3"/>
    </row>
    <row r="8" spans="1:17" ht="32.25" customHeight="1" thickBot="1" x14ac:dyDescent="0.35">
      <c r="A8" s="807"/>
      <c r="B8" s="810"/>
      <c r="C8" s="815"/>
      <c r="D8" s="816"/>
      <c r="E8" s="28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5</v>
      </c>
      <c r="K8" s="12" t="s">
        <v>6</v>
      </c>
      <c r="L8" s="12" t="s">
        <v>7</v>
      </c>
      <c r="M8" s="12" t="s">
        <v>8</v>
      </c>
      <c r="N8" s="190" t="s">
        <v>9</v>
      </c>
      <c r="O8" s="828"/>
      <c r="P8" s="828"/>
      <c r="Q8" s="3"/>
    </row>
    <row r="9" spans="1:17" s="2" customFormat="1" ht="12" customHeight="1" x14ac:dyDescent="0.3">
      <c r="A9" s="191">
        <v>1</v>
      </c>
      <c r="B9" s="150" t="s">
        <v>17</v>
      </c>
      <c r="C9" s="192" t="s">
        <v>18</v>
      </c>
      <c r="D9" s="193">
        <f>50*85/100</f>
        <v>42.5</v>
      </c>
      <c r="E9" s="497">
        <f>'расчет вложения'!G46+'расчет вложения'!G57</f>
        <v>42</v>
      </c>
      <c r="F9" s="151">
        <f>'расчет вложения'!G131+'расчет вложения'!G152</f>
        <v>42</v>
      </c>
      <c r="G9" s="151">
        <f>'расчет вложения'!G212+'расчет вложения'!G231</f>
        <v>42</v>
      </c>
      <c r="H9" s="151">
        <f>'расчет вложения'!G309+'расчет вложения'!G294</f>
        <v>42</v>
      </c>
      <c r="I9" s="151">
        <f>'расчет вложения'!G358+'расчет вложения'!G380</f>
        <v>42</v>
      </c>
      <c r="J9" s="151">
        <f>'расчет вложения'!G434+'расчет вложения'!G442</f>
        <v>42</v>
      </c>
      <c r="K9" s="151">
        <f>'расчет вложения'!G502+'расчет вложения'!G511</f>
        <v>42</v>
      </c>
      <c r="L9" s="151">
        <f>'расчет вложения'!G559+'расчет вложения'!G578</f>
        <v>42</v>
      </c>
      <c r="M9" s="151">
        <f>'расчет вложения'!G639+'расчет вложения'!G656</f>
        <v>42</v>
      </c>
      <c r="N9" s="498">
        <f>'расчет вложения'!G715+'расчет вложения'!G737</f>
        <v>42</v>
      </c>
      <c r="O9" s="194">
        <f>SUM(E9:N9)/10</f>
        <v>42</v>
      </c>
      <c r="P9" s="496">
        <f>O9/D9%-100</f>
        <v>-1.1764705882352899</v>
      </c>
      <c r="Q9" s="3"/>
    </row>
    <row r="10" spans="1:17" s="2" customFormat="1" ht="12" customHeight="1" x14ac:dyDescent="0.3">
      <c r="A10" s="92">
        <v>2</v>
      </c>
      <c r="B10" s="10" t="s">
        <v>19</v>
      </c>
      <c r="C10" s="195" t="s">
        <v>18</v>
      </c>
      <c r="D10" s="196">
        <f>80*85/100</f>
        <v>68</v>
      </c>
      <c r="E10" s="499">
        <f>'расчет вложения'!G10+'расчет вложения'!G45</f>
        <v>55</v>
      </c>
      <c r="F10" s="93">
        <f>'расчет вложения'!G76+'расчет вложения'!F71+'расчет вложения'!G102+'расчет вложения'!G130</f>
        <v>74.240000000000009</v>
      </c>
      <c r="G10" s="93">
        <f>'расчет вложения'!G163+'расчет вложения'!G211+'расчет вложения'!F223</f>
        <v>55.4</v>
      </c>
      <c r="H10" s="93">
        <f>'расчет вложения'!G293+'расчет вложения'!G240+'расчет вложения'!G264</f>
        <v>70</v>
      </c>
      <c r="I10" s="93">
        <f>'расчет вложения'!G357+'расчет вложения'!G319+10</f>
        <v>65</v>
      </c>
      <c r="J10" s="93">
        <f>'расчет вложения'!G389+'расчет вложения'!F433+'расчет вложения'!F438</f>
        <v>58</v>
      </c>
      <c r="K10" s="93">
        <f>'расчет вложения'!G453+'расчет вложения'!G488++'расчет вложения'!G501</f>
        <v>66</v>
      </c>
      <c r="L10" s="93">
        <f>'расчет вложения'!G521+'расчет вложения'!F547+'расчет вложения'!G558+'расчет вложения'!F566</f>
        <v>78</v>
      </c>
      <c r="M10" s="93">
        <f>'расчет вложения'!F649+'расчет вложения'!F638+'расчет вложения'!F594</f>
        <v>64.680000000000007</v>
      </c>
      <c r="N10" s="500">
        <f>'расчет вложения'!G664+'расчет вложения'!G714</f>
        <v>60</v>
      </c>
      <c r="O10" s="154">
        <f t="shared" ref="O10:O35" si="0">SUM(E10:N10)/10</f>
        <v>64.631999999999991</v>
      </c>
      <c r="P10" s="94">
        <f>O10/D10%-100</f>
        <v>-4.9529411764706026</v>
      </c>
      <c r="Q10" s="3"/>
    </row>
    <row r="11" spans="1:17" s="2" customFormat="1" ht="12" customHeight="1" x14ac:dyDescent="0.3">
      <c r="A11" s="92">
        <v>3</v>
      </c>
      <c r="B11" s="10" t="s">
        <v>20</v>
      </c>
      <c r="C11" s="195" t="s">
        <v>18</v>
      </c>
      <c r="D11" s="196">
        <f>29*85/100</f>
        <v>24.65</v>
      </c>
      <c r="E11" s="499">
        <f>'расчет вложения'!G31</f>
        <v>6.16</v>
      </c>
      <c r="F11" s="93">
        <f>'расчет вложения'!G65+'расчет вложения'!G104+'расчет вложения'!G109+'расчет вложения'!G142</f>
        <v>44.35</v>
      </c>
      <c r="G11" s="93">
        <f>'расчет вложения'!G206+30</f>
        <v>31.56</v>
      </c>
      <c r="H11" s="93">
        <f>'расчет вложения'!G236+'расчет вложения'!G304+'расчет вложения'!G277</f>
        <v>19.61</v>
      </c>
      <c r="I11" s="93">
        <f>'расчет вложения'!G316+'расчет вложения'!G369+'расчет вложения'!G370</f>
        <v>48.800000000000004</v>
      </c>
      <c r="J11" s="93">
        <f>'расчет вложения'!G733+'расчет вложения'!G726+'расчет вложения'!G427</f>
        <v>29.158999999999999</v>
      </c>
      <c r="K11" s="93">
        <f>'расчет вложения'!G494+'расчет вложения'!G504</f>
        <v>13.895000000000001</v>
      </c>
      <c r="L11" s="93">
        <f>'расчет вложения'!G569</f>
        <v>26</v>
      </c>
      <c r="M11" s="93">
        <f>'расчет вложения'!G582+'расчет вложения'!G602+'расчет вложения'!G618+'расчет вложения'!G625+'расчет вложения'!G633+'расчет вложения'!G601</f>
        <v>34.264000000000003</v>
      </c>
      <c r="N11" s="500">
        <f>'расчет вложения'!G700</f>
        <v>1.95</v>
      </c>
      <c r="O11" s="154">
        <f>SUM(E11:N11)/10</f>
        <v>25.574800000000003</v>
      </c>
      <c r="P11" s="94">
        <f>O11/D11%-100</f>
        <v>3.7517241379310491</v>
      </c>
      <c r="Q11" s="3"/>
    </row>
    <row r="12" spans="1:17" s="2" customFormat="1" ht="12" customHeight="1" x14ac:dyDescent="0.3">
      <c r="A12" s="92">
        <v>4</v>
      </c>
      <c r="B12" s="10" t="s">
        <v>21</v>
      </c>
      <c r="C12" s="195" t="s">
        <v>18</v>
      </c>
      <c r="D12" s="196">
        <f>3*85/100</f>
        <v>2.5499999999999998</v>
      </c>
      <c r="E12" s="499">
        <v>0</v>
      </c>
      <c r="F12" s="93">
        <v>6.2</v>
      </c>
      <c r="G12" s="93">
        <f>'расчет вложения'!G210</f>
        <v>8.1</v>
      </c>
      <c r="H12" s="93">
        <v>0</v>
      </c>
      <c r="I12" s="93">
        <f>0</f>
        <v>0</v>
      </c>
      <c r="J12" s="93">
        <v>0</v>
      </c>
      <c r="K12" s="93">
        <f>'расчет вложения'!G500</f>
        <v>9</v>
      </c>
      <c r="L12" s="93">
        <v>0</v>
      </c>
      <c r="M12" s="93">
        <f>'расчет вложения'!G590</f>
        <v>0.9</v>
      </c>
      <c r="N12" s="500">
        <v>0</v>
      </c>
      <c r="O12" s="154">
        <f t="shared" si="0"/>
        <v>2.42</v>
      </c>
      <c r="P12" s="94">
        <f>O12/D12%-100</f>
        <v>-5.0980392156862706</v>
      </c>
      <c r="Q12" s="3"/>
    </row>
    <row r="13" spans="1:17" s="2" customFormat="1" ht="12" customHeight="1" x14ac:dyDescent="0.3">
      <c r="A13" s="92">
        <v>5</v>
      </c>
      <c r="B13" s="10" t="s">
        <v>22</v>
      </c>
      <c r="C13" s="195" t="s">
        <v>18</v>
      </c>
      <c r="D13" s="196">
        <f>43*85/100</f>
        <v>36.549999999999997</v>
      </c>
      <c r="E13" s="499">
        <f>'расчет вложения'!G7</f>
        <v>33.299999999999997</v>
      </c>
      <c r="F13" s="93">
        <f>'расчет вложения'!G134</f>
        <v>11.5</v>
      </c>
      <c r="G13" s="93">
        <f>'расчет вложения'!G224</f>
        <v>35.700000000000003</v>
      </c>
      <c r="H13" s="93">
        <f>'расчет вложения'!G238+'расчет вложения'!G296</f>
        <v>51.5</v>
      </c>
      <c r="I13" s="93">
        <v>0</v>
      </c>
      <c r="J13" s="93">
        <f>'расчет вложения'!G385+'расчет вложения'!G385+'расчет вложения'!G405</f>
        <v>26.1</v>
      </c>
      <c r="K13" s="93">
        <f>'расчет вложения'!G481</f>
        <v>55.406400000000005</v>
      </c>
      <c r="L13" s="93">
        <f>'расчет вложения'!G517</f>
        <v>33.299999999999997</v>
      </c>
      <c r="M13" s="93">
        <f>'расчет вложения'!F615</f>
        <v>7</v>
      </c>
      <c r="N13" s="500">
        <f>'расчет вложения'!G723+'расчет вложения'!G683</f>
        <v>41.8</v>
      </c>
      <c r="O13" s="154">
        <f t="shared" si="0"/>
        <v>29.560639999999999</v>
      </c>
      <c r="P13" s="94">
        <f t="shared" ref="P13:P35" si="1">O13/D13%-100</f>
        <v>-19.122735978112175</v>
      </c>
      <c r="Q13" s="3"/>
    </row>
    <row r="14" spans="1:17" s="2" customFormat="1" ht="12" customHeight="1" x14ac:dyDescent="0.3">
      <c r="A14" s="92">
        <v>6</v>
      </c>
      <c r="B14" s="10" t="s">
        <v>150</v>
      </c>
      <c r="C14" s="195" t="s">
        <v>18</v>
      </c>
      <c r="D14" s="196">
        <f>140*85/100</f>
        <v>119</v>
      </c>
      <c r="E14" s="499">
        <f>'расчет вложения'!G23+'расчет вложения'!G48</f>
        <v>104</v>
      </c>
      <c r="F14" s="93">
        <f>'расчет вложения'!G119+'расчет вложения'!G89</f>
        <v>147.15</v>
      </c>
      <c r="G14" s="93">
        <f>'расчет вложения'!G172+'расчет вложения'!G187</f>
        <v>56</v>
      </c>
      <c r="H14" s="93">
        <f>'расчет вложения'!G253+'расчет вложения'!G273</f>
        <v>80</v>
      </c>
      <c r="I14" s="93">
        <f>'расчет вложения'!G325+'расчет вложения'!G347+'расчет вложения'!G360-90</f>
        <v>139.75</v>
      </c>
      <c r="J14" s="93">
        <f>'расчет вложения'!G401+'расчет вложения'!G418</f>
        <v>86</v>
      </c>
      <c r="K14" s="93">
        <f>'расчет вложения'!G461+'расчет вложения'!G468</f>
        <v>97</v>
      </c>
      <c r="L14" s="93">
        <f>'расчет вложения'!G530+'расчет вложения'!G550</f>
        <v>172.06666666666666</v>
      </c>
      <c r="M14" s="93">
        <f>'расчет вложения'!G640</f>
        <v>148</v>
      </c>
      <c r="N14" s="500">
        <f>'расчет вложения'!G675+'расчет вложения'!G702</f>
        <v>128.15</v>
      </c>
      <c r="O14" s="154">
        <f t="shared" si="0"/>
        <v>115.81166666666668</v>
      </c>
      <c r="P14" s="94">
        <f t="shared" si="1"/>
        <v>-2.6792717086834585</v>
      </c>
      <c r="Q14" s="3"/>
    </row>
    <row r="15" spans="1:17" s="2" customFormat="1" ht="12" customHeight="1" x14ac:dyDescent="0.3">
      <c r="A15" s="92">
        <v>7</v>
      </c>
      <c r="B15" s="10" t="s">
        <v>23</v>
      </c>
      <c r="C15" s="195" t="s">
        <v>18</v>
      </c>
      <c r="D15" s="196">
        <f>220*85/100</f>
        <v>187</v>
      </c>
      <c r="E15" s="499">
        <f>'расчет вложения'!G18+'расчет вложения'!G22+'расчет вложения'!G28+'расчет вложения'!G29+'расчет вложения'!G40+'расчет вложения'!G42+'расчет вложения'!G47+'расчет вложения'!G54+'расчет вложения'!G19+'расчет вложения'!G55+'расчет вложения'!G20+'расчет вложения'!G27</f>
        <v>289.25</v>
      </c>
      <c r="F15" s="93">
        <f>'расчет вложения'!G83+'расчет вложения'!G88+'расчет вложения'!G93+'расчет вложения'!G94+'расчет вложения'!G95+'расчет вложения'!G112+'расчет вложения'!G114+'расчет вложения'!G85+'расчет вложения'!G132+'расчет вложения'!G144</f>
        <v>134.02000000000001</v>
      </c>
      <c r="G15" s="93">
        <f>'расчет вложения'!G171+'расчет вложения'!G183+'расчет вложения'!G194+'расчет вложения'!G196+'расчет вложения'!G199+'расчет вложения'!G197+'расчет вложения'!G220+'расчет вложения'!G202+'расчет вложения'!G203+'расчет вложения'!G204+'расчет вложения'!G172</f>
        <v>247.36</v>
      </c>
      <c r="H15" s="93">
        <f>'расчет вложения'!G238+'расчет вложения'!G248+'расчет вложения'!G250+'расчет вложения'!G251+'расчет вложения'!G252+'расчет вложения'!G257+'расчет вложения'!G258+'расчет вложения'!G259+'расчет вложения'!G264+'расчет вложения'!G278+'расчет вложения'!G281+'расчет вложения'!G282+'расчет вложения'!G283</f>
        <v>195.07999999999998</v>
      </c>
      <c r="I15" s="93">
        <f>'расчет вложения'!G323+'расчет вложения'!G329+'расчет вложения'!G330+'расчет вложения'!G331+'расчет вложения'!G332+'расчет вложения'!G340+'расчет вложения'!G342+'расчет вложения'!G359+'расчет вложения'!G366+'расчет вложения'!G367</f>
        <v>189.62</v>
      </c>
      <c r="J15" s="93">
        <f>'расчет вложения'!G395+'расчет вложения'!G407+'расчет вложения'!G408+'расчет вложения'!G409+'расчет вложения'!G414+'расчет вложения'!G417+'расчет вложения'!G422+'расчет вложения'!G423+'расчет вложения'!G424</f>
        <v>119.25</v>
      </c>
      <c r="K15" s="93">
        <f>'расчет вложения'!G458+'расчет вложения'!G460+'расчет вложения'!G464+'расчет вложения'!G465+'расчет вложения'!G471+'расчет вложения'!G472+'расчет вложения'!G473+'расчет вложения'!G476</f>
        <v>40.119999999999997</v>
      </c>
      <c r="L15" s="93">
        <f>'расчет вложения'!G527+'расчет вложения'!G535+'расчет вложения'!G537+'расчет вложения'!G543+'расчет вложения'!G544+'расчет вложения'!G563</f>
        <v>86.7</v>
      </c>
      <c r="M15" s="93">
        <f>'расчет вложения'!G597+'расчет вложения'!G599+'расчет вложения'!G607+'расчет вложения'!G608+'расчет вложения'!G614+'расчет вложения'!G627+'расчет вложения'!G629+'расчет вложения'!G630+'расчет вложения'!G631+'расчет вложения'!G632+'расчет вложения'!G646</f>
        <v>243.07500000000002</v>
      </c>
      <c r="N15" s="500">
        <f>'расчет вложения'!G670+'расчет вложения'!G671+'расчет вложения'!G672+'расчет вложения'!G679+'расчет вложения'!G680+'расчет вложения'!G682+'расчет вложения'!G684+'расчет вложения'!F692+'расчет вложения'!F693+'расчет вложения'!G720+'расчет вложения'!G721+'расчет вложения'!G722</f>
        <v>134.04000000000002</v>
      </c>
      <c r="O15" s="154">
        <f t="shared" si="0"/>
        <v>167.85149999999999</v>
      </c>
      <c r="P15" s="94">
        <f t="shared" si="1"/>
        <v>-10.239839572192523</v>
      </c>
      <c r="Q15" s="3"/>
    </row>
    <row r="16" spans="1:17" s="65" customFormat="1" ht="12" customHeight="1" x14ac:dyDescent="0.3">
      <c r="A16" s="92">
        <v>8</v>
      </c>
      <c r="B16" s="10" t="s">
        <v>24</v>
      </c>
      <c r="C16" s="195" t="s">
        <v>18</v>
      </c>
      <c r="D16" s="196">
        <f>100*85/100</f>
        <v>85</v>
      </c>
      <c r="E16" s="499">
        <v>0</v>
      </c>
      <c r="F16" s="93">
        <f>'расчет вложения'!G127+'расчет вложения'!G82</f>
        <v>216</v>
      </c>
      <c r="G16" s="93" t="e">
        <f>'расчет вложения'!#REF!+100+'расчет вложения'!G226</f>
        <v>#REF!</v>
      </c>
      <c r="H16" s="93">
        <f>'расчет вложения'!G247+'расчет вложения'!G286</f>
        <v>136</v>
      </c>
      <c r="I16" s="93">
        <v>100</v>
      </c>
      <c r="J16" s="93">
        <f>'расчет вложения'!G429</f>
        <v>36</v>
      </c>
      <c r="K16" s="93">
        <f>'расчет вложения'!G457</f>
        <v>180</v>
      </c>
      <c r="L16" s="93">
        <f>'расчет вложения'!G555+100</f>
        <v>136</v>
      </c>
      <c r="M16" s="93">
        <f>'расчет вложения'!G588+'расчет вложения'!G652</f>
        <v>13.75</v>
      </c>
      <c r="N16" s="500">
        <f>'расчет вложения'!G710</f>
        <v>36</v>
      </c>
      <c r="O16" s="154" t="e">
        <f t="shared" si="0"/>
        <v>#REF!</v>
      </c>
      <c r="P16" s="94" t="e">
        <f t="shared" si="1"/>
        <v>#REF!</v>
      </c>
    </row>
    <row r="17" spans="1:17" s="2" customFormat="1" ht="12" customHeight="1" x14ac:dyDescent="0.3">
      <c r="A17" s="92">
        <v>9</v>
      </c>
      <c r="B17" s="10" t="s">
        <v>25</v>
      </c>
      <c r="C17" s="195" t="s">
        <v>18</v>
      </c>
      <c r="D17" s="196">
        <f>11*85/100</f>
        <v>9.35</v>
      </c>
      <c r="E17" s="411">
        <f>'расчет вложения'!F43</f>
        <v>18</v>
      </c>
      <c r="F17" s="410">
        <f>'расчет вложения'!G68</f>
        <v>10</v>
      </c>
      <c r="G17" s="410">
        <v>0</v>
      </c>
      <c r="H17" s="410">
        <v>0</v>
      </c>
      <c r="I17" s="410">
        <f>'расчет вложения'!G355+'расчет вложения'!G376</f>
        <v>19.79</v>
      </c>
      <c r="J17" s="410">
        <v>0</v>
      </c>
      <c r="K17" s="410">
        <v>0</v>
      </c>
      <c r="L17" s="410">
        <f>'расчет вложения'!G575</f>
        <v>9.1809999999999992</v>
      </c>
      <c r="M17" s="410">
        <f>'расчет вложения'!G635</f>
        <v>18</v>
      </c>
      <c r="N17" s="490">
        <v>0</v>
      </c>
      <c r="O17" s="507">
        <f t="shared" si="0"/>
        <v>7.4971000000000005</v>
      </c>
      <c r="P17" s="489">
        <f t="shared" si="1"/>
        <v>-19.817112299465236</v>
      </c>
      <c r="Q17" s="3"/>
    </row>
    <row r="18" spans="1:17" s="2" customFormat="1" ht="12" customHeight="1" x14ac:dyDescent="0.3">
      <c r="A18" s="92">
        <v>10</v>
      </c>
      <c r="B18" s="10" t="s">
        <v>26</v>
      </c>
      <c r="C18" s="195" t="s">
        <v>18</v>
      </c>
      <c r="D18" s="196">
        <f>20*85/100</f>
        <v>17</v>
      </c>
      <c r="E18" s="499">
        <v>50</v>
      </c>
      <c r="F18" s="93">
        <v>0</v>
      </c>
      <c r="G18" s="93">
        <v>50</v>
      </c>
      <c r="H18" s="93">
        <v>0</v>
      </c>
      <c r="I18" s="93">
        <v>0</v>
      </c>
      <c r="J18" s="93">
        <f>'расчет вложения'!G443</f>
        <v>15</v>
      </c>
      <c r="K18" s="93">
        <v>0</v>
      </c>
      <c r="L18" s="93">
        <v>0</v>
      </c>
      <c r="M18" s="93">
        <v>0</v>
      </c>
      <c r="N18" s="500">
        <f>'расчет вложения'!G735</f>
        <v>16.7</v>
      </c>
      <c r="O18" s="154">
        <f t="shared" si="0"/>
        <v>13.169999999999998</v>
      </c>
      <c r="P18" s="94">
        <f t="shared" si="1"/>
        <v>-22.529411764705898</v>
      </c>
      <c r="Q18" s="3"/>
    </row>
    <row r="19" spans="1:17" s="2" customFormat="1" ht="12" customHeight="1" x14ac:dyDescent="0.3">
      <c r="A19" s="92">
        <v>11</v>
      </c>
      <c r="B19" s="10" t="s">
        <v>27</v>
      </c>
      <c r="C19" s="195" t="s">
        <v>18</v>
      </c>
      <c r="D19" s="196">
        <f>30*85/100</f>
        <v>25.5</v>
      </c>
      <c r="E19" s="411">
        <f>'расчет вложения'!G6+'расчет вложения'!G14+'расчет вложения'!G44</f>
        <v>24.9</v>
      </c>
      <c r="F19" s="410">
        <f>'расчет вложения'!G65+'расчет вложения'!G75+'расчет вложения'!G78+'расчет вложения'!G116+'расчет вложения'!G128+'расчет вложения'!G150</f>
        <v>54.599999999999994</v>
      </c>
      <c r="G19" s="410">
        <f>'расчет вложения'!G160+'расчет вложения'!G167+'расчет вложения'!G181+'расчет вложения'!G209+'расчет вложения'!G228</f>
        <v>44.08</v>
      </c>
      <c r="H19" s="410">
        <f>'расчет вложения'!G237+'расчет вложения'!G243+'расчет вложения'!G252+'расчет вложения'!G288+'расчет вложения'!G299+'расчет вложения'!G306</f>
        <v>43</v>
      </c>
      <c r="I19" s="410">
        <f>'расчет вложения'!G373+'расчет вложения'!G356</f>
        <v>13.57</v>
      </c>
      <c r="J19" s="410">
        <f>'расчет вложения'!G387+'расчет вложения'!G396+'расчет вложения'!G430+'расчет вложения'!G727</f>
        <v>24.076000000000001</v>
      </c>
      <c r="K19" s="410">
        <f>'расчет вложения'!G456+'расчет вложения'!G499+'расчет вложения'!G505</f>
        <v>37.300000000000004</v>
      </c>
      <c r="L19" s="410">
        <f>'расчет вложения'!G518+'расчет вложения'!G556+'расчет вложения'!G570</f>
        <v>31</v>
      </c>
      <c r="M19" s="410">
        <f>'расчет вложения'!G583+'расчет вложения'!G589+'расчет вложения'!G634+'расчет вложения'!G636+'расчет вложения'!G654</f>
        <v>41.25</v>
      </c>
      <c r="N19" s="490">
        <f>'расчет вложения'!G685+'расчет вложения'!G712</f>
        <v>19.02</v>
      </c>
      <c r="O19" s="507">
        <f t="shared" si="0"/>
        <v>33.279599999999995</v>
      </c>
      <c r="P19" s="489">
        <f t="shared" si="1"/>
        <v>30.508235294117611</v>
      </c>
      <c r="Q19" s="3"/>
    </row>
    <row r="20" spans="1:17" s="2" customFormat="1" ht="12" customHeight="1" x14ac:dyDescent="0.3">
      <c r="A20" s="92">
        <v>12</v>
      </c>
      <c r="B20" s="10" t="s">
        <v>28</v>
      </c>
      <c r="C20" s="195" t="s">
        <v>18</v>
      </c>
      <c r="D20" s="196">
        <f>21*85/100</f>
        <v>17.850000000000001</v>
      </c>
      <c r="E20" s="499">
        <f>'расчет вложения'!G5+'расчет вложения'!G12+'расчет вложения'!G54+'расчет вложения'!G32</f>
        <v>14.7</v>
      </c>
      <c r="F20" s="93">
        <f>'расчет вложения'!G70+'расчет вложения'!G113+'расчет вложения'!G125+'расчет вложения'!G136+'расчет вложения'!G96</f>
        <v>15.17</v>
      </c>
      <c r="G20" s="93">
        <v>16.5</v>
      </c>
      <c r="H20" s="93">
        <v>8.1999999999999993</v>
      </c>
      <c r="I20" s="93">
        <v>18.5</v>
      </c>
      <c r="J20" s="93">
        <v>16</v>
      </c>
      <c r="K20" s="93">
        <v>21.3</v>
      </c>
      <c r="L20" s="93">
        <v>16.5</v>
      </c>
      <c r="M20" s="93">
        <v>23.8</v>
      </c>
      <c r="N20" s="500">
        <v>19.100000000000001</v>
      </c>
      <c r="O20" s="154">
        <f t="shared" si="0"/>
        <v>16.976999999999997</v>
      </c>
      <c r="P20" s="94">
        <f t="shared" si="1"/>
        <v>-4.8907563025210408</v>
      </c>
      <c r="Q20" s="3"/>
    </row>
    <row r="21" spans="1:17" s="2" customFormat="1" ht="12" customHeight="1" x14ac:dyDescent="0.3">
      <c r="A21" s="92">
        <v>13</v>
      </c>
      <c r="B21" s="10" t="s">
        <v>29</v>
      </c>
      <c r="C21" s="195" t="s">
        <v>18</v>
      </c>
      <c r="D21" s="196">
        <f>11*85/100</f>
        <v>9.35</v>
      </c>
      <c r="E21" s="411">
        <f>'расчет вложения'!G21+'расчет вложения'!G30+'расчет вложения'!G39</f>
        <v>10</v>
      </c>
      <c r="F21" s="410">
        <f>'расчет вложения'!G84+'расчет вложения'!G105</f>
        <v>6</v>
      </c>
      <c r="G21" s="410">
        <f>'расчет вложения'!G214+'расчет вложения'!G180+'расчет вложения'!G200+'расчет вложения'!G179</f>
        <v>18.100000000000001</v>
      </c>
      <c r="H21" s="410">
        <f>'расчет вложения'!E280+'расчет вложения'!E260+'расчет вложения'!E249</f>
        <v>7</v>
      </c>
      <c r="I21" s="410">
        <f>'расчет вложения'!G333+'расчет вложения'!G368+'расчет вложения'!G341+'расчет вложения'!E324</f>
        <v>6.8</v>
      </c>
      <c r="J21" s="410">
        <f>'расчет вложения'!G400+'расчет вложения'!G410+'расчет вложения'!G438+'расчет вложения'!G736</f>
        <v>9.5</v>
      </c>
      <c r="K21" s="410">
        <f>'расчет вложения'!G459+'расчет вложения'!G474+'расчет вложения'!G449+'расчет вложения'!G466</f>
        <v>11.8</v>
      </c>
      <c r="L21" s="410">
        <f>'расчет вложения'!G528+'расчет вложения'!G536+'расчет вложения'!G548+'расчет вложения'!G564+'расчет вложения'!G577</f>
        <v>12.35</v>
      </c>
      <c r="M21" s="410">
        <f>'расчет вложения'!G598+'расчет вложения'!G609+'расчет вложения'!G628+'расчет вложения'!G647+'расчет вложения'!G648</f>
        <v>15</v>
      </c>
      <c r="N21" s="490">
        <f>'расчет вложения'!G719+'расчет вложения'!G694+'расчет вложения'!G681+'расчет вложения'!G674</f>
        <v>13.7</v>
      </c>
      <c r="O21" s="507">
        <f t="shared" si="0"/>
        <v>11.025</v>
      </c>
      <c r="P21" s="489">
        <f t="shared" si="1"/>
        <v>17.914438502673804</v>
      </c>
      <c r="Q21" s="3"/>
    </row>
    <row r="22" spans="1:17" s="2" customFormat="1" ht="12" customHeight="1" x14ac:dyDescent="0.3">
      <c r="A22" s="92">
        <v>14</v>
      </c>
      <c r="B22" s="10" t="s">
        <v>30</v>
      </c>
      <c r="C22" s="195" t="s">
        <v>18</v>
      </c>
      <c r="D22" s="196">
        <f>0.6*85/100</f>
        <v>0.51</v>
      </c>
      <c r="E22" s="499">
        <f t="shared" ref="E22:N22" si="2">0.6*85/100</f>
        <v>0.51</v>
      </c>
      <c r="F22" s="93">
        <f t="shared" si="2"/>
        <v>0.51</v>
      </c>
      <c r="G22" s="93">
        <f t="shared" si="2"/>
        <v>0.51</v>
      </c>
      <c r="H22" s="93">
        <f t="shared" si="2"/>
        <v>0.51</v>
      </c>
      <c r="I22" s="93">
        <f t="shared" si="2"/>
        <v>0.51</v>
      </c>
      <c r="J22" s="93">
        <f t="shared" si="2"/>
        <v>0.51</v>
      </c>
      <c r="K22" s="93">
        <f t="shared" si="2"/>
        <v>0.51</v>
      </c>
      <c r="L22" s="93">
        <f t="shared" si="2"/>
        <v>0.51</v>
      </c>
      <c r="M22" s="93">
        <f t="shared" si="2"/>
        <v>0.51</v>
      </c>
      <c r="N22" s="500">
        <f t="shared" si="2"/>
        <v>0.51</v>
      </c>
      <c r="O22" s="154">
        <f t="shared" si="0"/>
        <v>0.5099999999999999</v>
      </c>
      <c r="P22" s="94">
        <f t="shared" si="1"/>
        <v>0</v>
      </c>
      <c r="Q22" s="3"/>
    </row>
    <row r="23" spans="1:17" s="2" customFormat="1" ht="12" customHeight="1" x14ac:dyDescent="0.3">
      <c r="A23" s="92">
        <v>15</v>
      </c>
      <c r="B23" s="10" t="s">
        <v>534</v>
      </c>
      <c r="C23" s="195" t="s">
        <v>18</v>
      </c>
      <c r="D23" s="197">
        <f>55*85/100</f>
        <v>46.75</v>
      </c>
      <c r="E23" s="499">
        <f>'расчет вложения'!G38</f>
        <v>81</v>
      </c>
      <c r="F23" s="93">
        <f>'расчет вложения'!G133</f>
        <v>30</v>
      </c>
      <c r="G23" s="93">
        <f>'расчет вложения'!G193-10</f>
        <v>70</v>
      </c>
      <c r="H23" s="93">
        <v>0</v>
      </c>
      <c r="I23" s="93">
        <v>0</v>
      </c>
      <c r="J23" s="93">
        <f>'расчет вложения'!G415</f>
        <v>96</v>
      </c>
      <c r="K23" s="93">
        <f>'расчет вложения'!G475</f>
        <v>22.8</v>
      </c>
      <c r="L23" s="93">
        <f>'расчет вложения'!G560</f>
        <v>72</v>
      </c>
      <c r="M23" s="96">
        <f>'расчет вложения'!G613</f>
        <v>51</v>
      </c>
      <c r="N23" s="500">
        <f>'расчет вложения'!G687-10</f>
        <v>39</v>
      </c>
      <c r="O23" s="154">
        <f t="shared" si="0"/>
        <v>46.18</v>
      </c>
      <c r="P23" s="94">
        <f t="shared" si="1"/>
        <v>-1.2192513368983953</v>
      </c>
      <c r="Q23" s="3"/>
    </row>
    <row r="24" spans="1:17" s="2" customFormat="1" ht="12" customHeight="1" x14ac:dyDescent="0.3">
      <c r="A24" s="92">
        <v>16</v>
      </c>
      <c r="B24" s="10" t="s">
        <v>31</v>
      </c>
      <c r="C24" s="195" t="s">
        <v>18</v>
      </c>
      <c r="D24" s="196">
        <f>37*85/100</f>
        <v>31.45</v>
      </c>
      <c r="E24" s="411">
        <v>0</v>
      </c>
      <c r="F24" s="410">
        <f>'расчет вложения'!F99</f>
        <v>80.557377049180332</v>
      </c>
      <c r="G24" s="476">
        <v>0</v>
      </c>
      <c r="H24" s="410">
        <v>0</v>
      </c>
      <c r="I24" s="410">
        <f>'расчет вложения'!G336</f>
        <v>55</v>
      </c>
      <c r="J24" s="410">
        <v>0</v>
      </c>
      <c r="K24" s="410">
        <v>0</v>
      </c>
      <c r="L24" s="410">
        <f>'расчет вложения'!G539</f>
        <v>68</v>
      </c>
      <c r="M24" s="476" t="str">
        <f>'расчет вложения'!F651</f>
        <v>52</v>
      </c>
      <c r="N24" s="490">
        <f>'расчет вложения'!G687</f>
        <v>49</v>
      </c>
      <c r="O24" s="507">
        <f t="shared" si="0"/>
        <v>25.255737704918033</v>
      </c>
      <c r="P24" s="489">
        <f t="shared" si="1"/>
        <v>-19.69558758372645</v>
      </c>
      <c r="Q24" s="3"/>
    </row>
    <row r="25" spans="1:17" s="2" customFormat="1" ht="12" customHeight="1" x14ac:dyDescent="0.3">
      <c r="A25" s="92">
        <v>17</v>
      </c>
      <c r="B25" s="10" t="s">
        <v>32</v>
      </c>
      <c r="C25" s="195" t="s">
        <v>18</v>
      </c>
      <c r="D25" s="196">
        <f>450*85/100</f>
        <v>382.5</v>
      </c>
      <c r="E25" s="411">
        <f>'расчет вложения'!G3+'расчет вложения'!G15+'расчет вложения'!G34+'расчет вложения'!G52+'расчет вложения'!G58</f>
        <v>233.96</v>
      </c>
      <c r="F25" s="410">
        <f>'расчет вложения'!G123+'расчет вложения'!G103+'расчет вложения'!G79</f>
        <v>133.5</v>
      </c>
      <c r="G25" s="410">
        <f>'расчет вложения'!G157+'расчет вложения'!G168</f>
        <v>242</v>
      </c>
      <c r="H25" s="410">
        <f>'расчет вложения'!G244+'расчет вложения'!G234+'расчет вложения'!G302+'расчет вложения'!G265+'расчет вложения'!G308</f>
        <v>428</v>
      </c>
      <c r="I25" s="410">
        <f>'расчет вложения'!G313+'расчет вложения'!G320+'расчет вложения'!G345+'расчет вложения'!G351+'расчет вложения'!G378</f>
        <v>250.5</v>
      </c>
      <c r="J25" s="410">
        <f>'расчет вложения'!G383++'расчет вложения'!G440+'расчет вложения'!G444</f>
        <v>109.8</v>
      </c>
      <c r="K25" s="410">
        <f>'расчет вложения'!G448+'расчет вложения'!G455+'расчет вложения'!G492+'расчет вложения'!G510</f>
        <v>140.4666666666667</v>
      </c>
      <c r="L25" s="410">
        <f>'расчет вложения'!G514+'расчет вложения'!G526+'расчет вложения'!G545</f>
        <v>229</v>
      </c>
      <c r="M25" s="410">
        <f>'расчет вложения'!G595</f>
        <v>180</v>
      </c>
      <c r="N25" s="490">
        <f>'расчет вложения'!G667+'расчет вложения'!G660+'расчет вложения'!G706++'расчет вложения'!G724</f>
        <v>231.8</v>
      </c>
      <c r="O25" s="507">
        <f t="shared" si="0"/>
        <v>217.90266666666668</v>
      </c>
      <c r="P25" s="489">
        <f t="shared" si="1"/>
        <v>-43.0319825708061</v>
      </c>
      <c r="Q25" s="3"/>
    </row>
    <row r="26" spans="1:17" s="2" customFormat="1" ht="12" customHeight="1" x14ac:dyDescent="0.3">
      <c r="A26" s="92">
        <v>18</v>
      </c>
      <c r="B26" s="10" t="s">
        <v>33</v>
      </c>
      <c r="C26" s="195" t="s">
        <v>18</v>
      </c>
      <c r="D26" s="196">
        <f>40*85/100</f>
        <v>34</v>
      </c>
      <c r="E26" s="499">
        <v>0</v>
      </c>
      <c r="F26" s="93">
        <f>'расчет вложения'!G64</f>
        <v>75</v>
      </c>
      <c r="G26" s="93">
        <v>0</v>
      </c>
      <c r="H26" s="93">
        <f>'расчет вложения'!G295</f>
        <v>75</v>
      </c>
      <c r="I26" s="93">
        <v>0</v>
      </c>
      <c r="J26" s="93">
        <v>0</v>
      </c>
      <c r="K26" s="93">
        <f>'расчет вложения'!G503</f>
        <v>77.900000000000006</v>
      </c>
      <c r="L26" s="93">
        <v>0</v>
      </c>
      <c r="M26" s="93">
        <f>'расчет вложения'!G581</f>
        <v>110.4</v>
      </c>
      <c r="N26" s="500">
        <v>0</v>
      </c>
      <c r="O26" s="154">
        <f t="shared" si="0"/>
        <v>33.83</v>
      </c>
      <c r="P26" s="94">
        <f t="shared" si="1"/>
        <v>-0.50000000000001421</v>
      </c>
      <c r="Q26" s="3"/>
    </row>
    <row r="27" spans="1:17" s="2" customFormat="1" ht="12" customHeight="1" x14ac:dyDescent="0.3">
      <c r="A27" s="92">
        <v>19</v>
      </c>
      <c r="B27" s="10" t="s">
        <v>34</v>
      </c>
      <c r="C27" s="195" t="s">
        <v>18</v>
      </c>
      <c r="D27" s="196">
        <f>11*85/100</f>
        <v>9.35</v>
      </c>
      <c r="E27" s="499">
        <v>0</v>
      </c>
      <c r="F27" s="93">
        <v>15</v>
      </c>
      <c r="G27" s="93">
        <f>'расчет вложения'!G217</f>
        <v>12.5</v>
      </c>
      <c r="H27" s="93">
        <f>'расчет вложения'!G300</f>
        <v>3</v>
      </c>
      <c r="I27" s="93">
        <v>17.5</v>
      </c>
      <c r="J27" s="93">
        <f>'расчет вложения'!G413</f>
        <v>5</v>
      </c>
      <c r="K27" s="93">
        <f>0</f>
        <v>0</v>
      </c>
      <c r="L27" s="93">
        <v>0</v>
      </c>
      <c r="M27" s="93">
        <f>'расчет вложения'!G587+'расчет вложения'!G623</f>
        <v>24.8</v>
      </c>
      <c r="N27" s="500">
        <f>'расчет вложения'!G686+'расчет вложения'!G698</f>
        <v>16.5</v>
      </c>
      <c r="O27" s="154">
        <f t="shared" si="0"/>
        <v>9.43</v>
      </c>
      <c r="P27" s="94">
        <f t="shared" si="1"/>
        <v>0.85561497326203551</v>
      </c>
      <c r="Q27" s="3"/>
    </row>
    <row r="28" spans="1:17" s="2" customFormat="1" ht="12" customHeight="1" x14ac:dyDescent="0.3">
      <c r="A28" s="92">
        <v>20</v>
      </c>
      <c r="B28" s="10" t="s">
        <v>35</v>
      </c>
      <c r="C28" s="195" t="s">
        <v>18</v>
      </c>
      <c r="D28" s="196">
        <f>6*85/100</f>
        <v>5.0999999999999996</v>
      </c>
      <c r="E28" s="499">
        <f>'расчет вложения'!G11</f>
        <v>0</v>
      </c>
      <c r="F28" s="93">
        <f>0</f>
        <v>0</v>
      </c>
      <c r="G28" s="93">
        <v>10</v>
      </c>
      <c r="H28" s="93">
        <v>0</v>
      </c>
      <c r="I28" s="93">
        <v>0</v>
      </c>
      <c r="J28" s="93">
        <f>'расчет вложения'!G390</f>
        <v>5</v>
      </c>
      <c r="K28" s="93">
        <v>16.7</v>
      </c>
      <c r="L28" s="93">
        <v>10</v>
      </c>
      <c r="M28" s="93">
        <v>0</v>
      </c>
      <c r="N28" s="500">
        <v>9</v>
      </c>
      <c r="O28" s="154">
        <f t="shared" si="0"/>
        <v>5.07</v>
      </c>
      <c r="P28" s="94">
        <f t="shared" si="1"/>
        <v>-0.58823529411763786</v>
      </c>
      <c r="Q28" s="3"/>
    </row>
    <row r="29" spans="1:17" s="2" customFormat="1" ht="12" customHeight="1" x14ac:dyDescent="0.3">
      <c r="A29" s="92">
        <v>21</v>
      </c>
      <c r="B29" s="10" t="s">
        <v>36</v>
      </c>
      <c r="C29" s="195" t="s">
        <v>37</v>
      </c>
      <c r="D29" s="196">
        <f>40*85/100</f>
        <v>34</v>
      </c>
      <c r="E29" s="499">
        <f>'расчет вложения'!G51+'расчет вложения'!G33</f>
        <v>41.76</v>
      </c>
      <c r="F29" s="93">
        <f>'расчет вложения'!G67+'расчет вложения'!G138</f>
        <v>7.5</v>
      </c>
      <c r="G29" s="93">
        <v>0</v>
      </c>
      <c r="H29" s="93">
        <f>'расчет вложения'!G297</f>
        <v>6</v>
      </c>
      <c r="I29" s="93">
        <f>'расчет вложения'!G312+'расчет вложения'!G344+'расчет вложения'!G375</f>
        <v>91.07</v>
      </c>
      <c r="J29" s="93">
        <f>'расчет вложения'!G439</f>
        <v>24</v>
      </c>
      <c r="K29" s="93">
        <f>'расчет вложения'!G447+'расчет вложения'!G477+'расчет вложения'!G506</f>
        <v>77.3</v>
      </c>
      <c r="L29" s="93">
        <f>'расчет вложения'!G546+'расчет вложения'!G565+'расчет вложения'!G572</f>
        <v>16.399999999999999</v>
      </c>
      <c r="M29" s="93">
        <f>'расчет вложения'!G604+'расчет вложения'!G584</f>
        <v>7.32</v>
      </c>
      <c r="N29" s="500">
        <f>'расчет вложения'!G659+'расчет вложения'!G729+'расчет вложения'!G729</f>
        <v>94.651999999999987</v>
      </c>
      <c r="O29" s="154">
        <f t="shared" si="0"/>
        <v>36.600199999999994</v>
      </c>
      <c r="P29" s="94">
        <f t="shared" si="1"/>
        <v>7.6476470588235088</v>
      </c>
      <c r="Q29" s="3"/>
    </row>
    <row r="30" spans="1:17" s="2" customFormat="1" ht="12" customHeight="1" x14ac:dyDescent="0.3">
      <c r="A30" s="92">
        <v>22</v>
      </c>
      <c r="B30" s="10" t="s">
        <v>38</v>
      </c>
      <c r="C30" s="195" t="s">
        <v>18</v>
      </c>
      <c r="D30" s="196">
        <f>1.8*85/100</f>
        <v>1.53</v>
      </c>
      <c r="E30" s="499">
        <v>1.5</v>
      </c>
      <c r="F30" s="499">
        <v>1.5</v>
      </c>
      <c r="G30" s="499">
        <v>1.5</v>
      </c>
      <c r="H30" s="499">
        <v>1.5</v>
      </c>
      <c r="I30" s="499">
        <v>1.5</v>
      </c>
      <c r="J30" s="499">
        <v>1.5</v>
      </c>
      <c r="K30" s="499">
        <v>1.5</v>
      </c>
      <c r="L30" s="499">
        <v>1.5</v>
      </c>
      <c r="M30" s="499">
        <v>1.5</v>
      </c>
      <c r="N30" s="499">
        <v>1.5</v>
      </c>
      <c r="O30" s="154">
        <f t="shared" si="0"/>
        <v>1.5</v>
      </c>
      <c r="P30" s="94">
        <f t="shared" si="1"/>
        <v>-1.9607843137254974</v>
      </c>
      <c r="Q30" s="3"/>
    </row>
    <row r="31" spans="1:17" s="2" customFormat="1" ht="12" customHeight="1" x14ac:dyDescent="0.3">
      <c r="A31" s="92">
        <v>23</v>
      </c>
      <c r="B31" s="10" t="s">
        <v>39</v>
      </c>
      <c r="C31" s="195" t="s">
        <v>18</v>
      </c>
      <c r="D31" s="196">
        <f>5*85/100</f>
        <v>4.25</v>
      </c>
      <c r="E31" s="499">
        <v>4.3</v>
      </c>
      <c r="F31" s="93">
        <v>4.3</v>
      </c>
      <c r="G31" s="93">
        <v>4.3</v>
      </c>
      <c r="H31" s="93">
        <v>4.3</v>
      </c>
      <c r="I31" s="93">
        <v>4.3</v>
      </c>
      <c r="J31" s="93">
        <v>4.3</v>
      </c>
      <c r="K31" s="93">
        <v>4.3</v>
      </c>
      <c r="L31" s="93">
        <v>4.3</v>
      </c>
      <c r="M31" s="93">
        <v>4.3</v>
      </c>
      <c r="N31" s="500">
        <v>4.3</v>
      </c>
      <c r="O31" s="154">
        <f t="shared" si="0"/>
        <v>4.2999999999999989</v>
      </c>
      <c r="P31" s="94">
        <f t="shared" si="1"/>
        <v>1.1764705882352615</v>
      </c>
      <c r="Q31" s="3"/>
    </row>
    <row r="32" spans="1:17" s="2" customFormat="1" ht="12" customHeight="1" x14ac:dyDescent="0.3">
      <c r="A32" s="92">
        <v>24</v>
      </c>
      <c r="B32" s="10" t="s">
        <v>40</v>
      </c>
      <c r="C32" s="195" t="s">
        <v>18</v>
      </c>
      <c r="D32" s="196">
        <f>0.5*85/100</f>
        <v>0.42499999999999999</v>
      </c>
      <c r="E32" s="499">
        <f t="shared" ref="E32:N32" si="3">0.5*85/100</f>
        <v>0.42499999999999999</v>
      </c>
      <c r="F32" s="93">
        <f t="shared" si="3"/>
        <v>0.42499999999999999</v>
      </c>
      <c r="G32" s="93">
        <f t="shared" si="3"/>
        <v>0.42499999999999999</v>
      </c>
      <c r="H32" s="93">
        <f t="shared" si="3"/>
        <v>0.42499999999999999</v>
      </c>
      <c r="I32" s="93">
        <f t="shared" si="3"/>
        <v>0.42499999999999999</v>
      </c>
      <c r="J32" s="93">
        <f t="shared" si="3"/>
        <v>0.42499999999999999</v>
      </c>
      <c r="K32" s="93">
        <f t="shared" si="3"/>
        <v>0.42499999999999999</v>
      </c>
      <c r="L32" s="93">
        <f t="shared" si="3"/>
        <v>0.42499999999999999</v>
      </c>
      <c r="M32" s="93">
        <f t="shared" si="3"/>
        <v>0.42499999999999999</v>
      </c>
      <c r="N32" s="500">
        <f t="shared" si="3"/>
        <v>0.42499999999999999</v>
      </c>
      <c r="O32" s="154">
        <f t="shared" si="0"/>
        <v>0.42499999999999993</v>
      </c>
      <c r="P32" s="94">
        <f t="shared" si="1"/>
        <v>0</v>
      </c>
      <c r="Q32" s="3"/>
    </row>
    <row r="33" spans="1:17" s="2" customFormat="1" ht="12" customHeight="1" x14ac:dyDescent="0.3">
      <c r="A33" s="92">
        <v>25</v>
      </c>
      <c r="B33" s="10" t="s">
        <v>41</v>
      </c>
      <c r="C33" s="195" t="s">
        <v>18</v>
      </c>
      <c r="D33" s="196">
        <f>24*85/100</f>
        <v>20.399999999999999</v>
      </c>
      <c r="E33" s="499">
        <f>'расчет вложения'!G37</f>
        <v>0</v>
      </c>
      <c r="F33" s="93">
        <f>'расчет вложения'!G97-13.7</f>
        <v>-3.3333333333333215E-2</v>
      </c>
      <c r="G33" s="93">
        <f>'расчет вложения'!G191</f>
        <v>0</v>
      </c>
      <c r="H33" s="93">
        <v>54</v>
      </c>
      <c r="I33" s="93" t="e">
        <f>'расчет вложения'!#REF!</f>
        <v>#REF!</v>
      </c>
      <c r="J33" s="93">
        <f>'расчет вложения'!G412</f>
        <v>11.3</v>
      </c>
      <c r="K33" s="93">
        <f>'расчет вложения'!G484</f>
        <v>42</v>
      </c>
      <c r="L33" s="93">
        <f>'расчет вложения'!G538-13.7</f>
        <v>-13.7</v>
      </c>
      <c r="M33" s="93">
        <f>'расчет вложения'!G612</f>
        <v>11.333333333333334</v>
      </c>
      <c r="N33" s="500">
        <v>58</v>
      </c>
      <c r="O33" s="154" t="e">
        <f t="shared" si="0"/>
        <v>#REF!</v>
      </c>
      <c r="P33" s="94" t="e">
        <f t="shared" si="1"/>
        <v>#REF!</v>
      </c>
      <c r="Q33" s="3"/>
    </row>
    <row r="34" spans="1:17" s="2" customFormat="1" ht="12" customHeight="1" x14ac:dyDescent="0.3">
      <c r="A34" s="92">
        <v>27</v>
      </c>
      <c r="B34" s="10" t="s">
        <v>42</v>
      </c>
      <c r="C34" s="195" t="s">
        <v>43</v>
      </c>
      <c r="D34" s="196">
        <f>150*85/100</f>
        <v>127.5</v>
      </c>
      <c r="E34" s="411">
        <f>'расчет вложения'!G17</f>
        <v>180</v>
      </c>
      <c r="F34" s="410">
        <v>0</v>
      </c>
      <c r="G34" s="410">
        <v>0</v>
      </c>
      <c r="H34" s="410">
        <v>0</v>
      </c>
      <c r="I34" s="410">
        <f>'расчет вложения'!G322</f>
        <v>180</v>
      </c>
      <c r="J34" s="410">
        <f>'расчет вложения'!G394</f>
        <v>180</v>
      </c>
      <c r="K34" s="410">
        <f>'расчет вложения'!G497</f>
        <v>54</v>
      </c>
      <c r="L34" s="410">
        <f>'расчет вложения'!G568</f>
        <v>180</v>
      </c>
      <c r="M34" s="410">
        <v>0</v>
      </c>
      <c r="N34" s="490">
        <v>200</v>
      </c>
      <c r="O34" s="507">
        <f t="shared" si="0"/>
        <v>97.4</v>
      </c>
      <c r="P34" s="489">
        <f t="shared" si="1"/>
        <v>-23.607843137254889</v>
      </c>
    </row>
    <row r="35" spans="1:17" s="2" customFormat="1" ht="12" customHeight="1" x14ac:dyDescent="0.3">
      <c r="A35" s="92">
        <v>28</v>
      </c>
      <c r="B35" s="10" t="s">
        <v>45</v>
      </c>
      <c r="C35" s="195" t="s">
        <v>18</v>
      </c>
      <c r="D35" s="196">
        <f>12*85/100</f>
        <v>10.199999999999999</v>
      </c>
      <c r="E35" s="499">
        <v>0</v>
      </c>
      <c r="F35" s="93">
        <v>0</v>
      </c>
      <c r="G35" s="93">
        <v>0</v>
      </c>
      <c r="H35" s="93">
        <v>0</v>
      </c>
      <c r="I35" s="93">
        <v>0</v>
      </c>
      <c r="J35" s="93">
        <f>'расчет вложения'!G435</f>
        <v>55.08</v>
      </c>
      <c r="K35" s="93">
        <v>0</v>
      </c>
      <c r="L35" s="93">
        <f>'расчет вложения'!F562</f>
        <v>44</v>
      </c>
      <c r="M35" s="93">
        <v>0</v>
      </c>
      <c r="N35" s="500">
        <v>0</v>
      </c>
      <c r="O35" s="154">
        <f t="shared" si="0"/>
        <v>9.9079999999999995</v>
      </c>
      <c r="P35" s="94">
        <f t="shared" si="1"/>
        <v>-2.8627450980392126</v>
      </c>
    </row>
    <row r="36" spans="1:17" s="2" customFormat="1" ht="12" customHeight="1" thickBot="1" x14ac:dyDescent="0.35">
      <c r="A36" s="28">
        <v>29</v>
      </c>
      <c r="B36" s="12" t="s">
        <v>270</v>
      </c>
      <c r="C36" s="198"/>
      <c r="D36" s="199">
        <f>25*85/100</f>
        <v>21.25</v>
      </c>
      <c r="E36" s="412">
        <v>0</v>
      </c>
      <c r="F36" s="413">
        <v>0</v>
      </c>
      <c r="G36" s="413">
        <f>'расчет вложения'!G213</f>
        <v>74</v>
      </c>
      <c r="H36" s="413">
        <v>0</v>
      </c>
      <c r="I36" s="413">
        <v>0</v>
      </c>
      <c r="J36" s="413">
        <v>0</v>
      </c>
      <c r="K36" s="413">
        <v>0</v>
      </c>
      <c r="L36" s="413">
        <v>0</v>
      </c>
      <c r="M36" s="413">
        <f>'расчет вложения'!G645</f>
        <v>41</v>
      </c>
      <c r="N36" s="491">
        <v>0</v>
      </c>
      <c r="O36" s="508">
        <f>SUM(E36:N36)/10</f>
        <v>11.5</v>
      </c>
      <c r="P36" s="501">
        <f>O36/D36%-100</f>
        <v>-45.882352941176471</v>
      </c>
    </row>
    <row r="37" spans="1:17" ht="12" customHeight="1" x14ac:dyDescent="0.3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7" s="60" customFormat="1" ht="12" customHeight="1" x14ac:dyDescent="0.35">
      <c r="A38" s="14"/>
      <c r="B38" s="200" t="s">
        <v>363</v>
      </c>
      <c r="C38" s="201"/>
      <c r="D38" s="201"/>
      <c r="E38" s="202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</row>
    <row r="39" spans="1:17" s="60" customFormat="1" ht="12" customHeight="1" x14ac:dyDescent="0.35">
      <c r="A39" s="14"/>
      <c r="B39" s="200" t="s">
        <v>364</v>
      </c>
      <c r="C39" s="201"/>
      <c r="D39" s="201"/>
      <c r="E39" s="202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</row>
    <row r="40" spans="1:17" ht="15.5" x14ac:dyDescent="0.35">
      <c r="B40" s="200" t="s">
        <v>371</v>
      </c>
      <c r="C40" s="201"/>
      <c r="D40" s="201"/>
      <c r="E40" s="202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</row>
    <row r="41" spans="1:17" ht="29.25" customHeight="1" x14ac:dyDescent="0.35">
      <c r="B41" s="806" t="s">
        <v>372</v>
      </c>
      <c r="C41" s="806"/>
      <c r="D41" s="806"/>
      <c r="E41" s="806"/>
      <c r="F41" s="806"/>
      <c r="G41" s="806"/>
      <c r="H41" s="806"/>
      <c r="I41" s="806"/>
      <c r="J41" s="806"/>
      <c r="K41" s="806"/>
      <c r="L41" s="806"/>
      <c r="M41" s="806"/>
      <c r="N41" s="806"/>
      <c r="O41" s="806"/>
      <c r="P41" s="806"/>
    </row>
  </sheetData>
  <mergeCells count="11">
    <mergeCell ref="A1:P1"/>
    <mergeCell ref="A2:P2"/>
    <mergeCell ref="A3:P3"/>
    <mergeCell ref="A4:P4"/>
    <mergeCell ref="B41:P41"/>
    <mergeCell ref="A5:A8"/>
    <mergeCell ref="B5:B8"/>
    <mergeCell ref="C5:D8"/>
    <mergeCell ref="E5:N7"/>
    <mergeCell ref="O5:O8"/>
    <mergeCell ref="P5:P8"/>
  </mergeCells>
  <phoneticPr fontId="2" type="noConversion"/>
  <pageMargins left="0.47" right="0.57999999999999996" top="0.41" bottom="0.24" header="0.28000000000000003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23"/>
  <sheetViews>
    <sheetView topLeftCell="C1" zoomScaleNormal="100" zoomScaleSheetLayoutView="100" workbookViewId="0">
      <selection activeCell="AR21" sqref="AR21"/>
    </sheetView>
  </sheetViews>
  <sheetFormatPr defaultRowHeight="13" x14ac:dyDescent="0.3"/>
  <cols>
    <col min="1" max="1" width="2.26953125" style="29" hidden="1" customWidth="1"/>
    <col min="2" max="2" width="3.26953125" style="35" hidden="1" customWidth="1"/>
    <col min="3" max="3" width="8.7265625" style="29" customWidth="1"/>
    <col min="4" max="4" width="3.54296875" style="36" hidden="1" customWidth="1"/>
    <col min="5" max="5" width="3.453125" style="37" hidden="1" customWidth="1"/>
    <col min="6" max="6" width="3.26953125" style="5" hidden="1" customWidth="1"/>
    <col min="7" max="7" width="8.7265625" style="40" customWidth="1"/>
    <col min="8" max="8" width="3.453125" style="37" hidden="1" customWidth="1"/>
    <col min="9" max="9" width="3.54296875" style="37" hidden="1" customWidth="1"/>
    <col min="10" max="10" width="3.26953125" style="41" hidden="1" customWidth="1"/>
    <col min="11" max="11" width="8.7265625" style="38" customWidth="1"/>
    <col min="12" max="12" width="3.453125" style="37" hidden="1" customWidth="1"/>
    <col min="13" max="13" width="3.54296875" style="36" hidden="1" customWidth="1"/>
    <col min="14" max="14" width="3.81640625" style="39" hidden="1" customWidth="1"/>
    <col min="15" max="15" width="8.7265625" style="29" customWidth="1"/>
    <col min="16" max="16" width="3.7265625" style="36" hidden="1" customWidth="1"/>
    <col min="17" max="17" width="3.453125" style="37" hidden="1" customWidth="1"/>
    <col min="18" max="18" width="3.26953125" style="5" hidden="1" customWidth="1"/>
    <col min="19" max="19" width="8.7265625" style="29" customWidth="1"/>
    <col min="20" max="20" width="3.81640625" style="37" hidden="1" customWidth="1"/>
    <col min="21" max="21" width="4" style="37" hidden="1" customWidth="1"/>
    <col min="22" max="22" width="3.7265625" hidden="1" customWidth="1"/>
    <col min="23" max="23" width="8.7265625" customWidth="1"/>
    <col min="24" max="26" width="3.7265625" hidden="1" customWidth="1"/>
    <col min="27" max="27" width="8.7265625" customWidth="1"/>
    <col min="28" max="30" width="3.7265625" hidden="1" customWidth="1"/>
    <col min="31" max="31" width="8.7265625" customWidth="1"/>
    <col min="32" max="34" width="3.7265625" hidden="1" customWidth="1"/>
    <col min="35" max="35" width="8.7265625" customWidth="1"/>
    <col min="36" max="38" width="3.7265625" hidden="1" customWidth="1"/>
    <col min="39" max="39" width="8.7265625" customWidth="1"/>
    <col min="40" max="41" width="3.7265625" hidden="1" customWidth="1"/>
    <col min="42" max="43" width="0" hidden="1" customWidth="1"/>
    <col min="45" max="47" width="0" hidden="1" customWidth="1"/>
    <col min="49" max="51" width="0" hidden="1" customWidth="1"/>
    <col min="53" max="55" width="0" hidden="1" customWidth="1"/>
    <col min="57" max="59" width="0" hidden="1" customWidth="1"/>
    <col min="61" max="63" width="0" hidden="1" customWidth="1"/>
    <col min="65" max="67" width="0" hidden="1" customWidth="1"/>
    <col min="69" max="71" width="0" hidden="1" customWidth="1"/>
    <col min="73" max="75" width="0" hidden="1" customWidth="1"/>
    <col min="77" max="79" width="0" hidden="1" customWidth="1"/>
    <col min="81" max="82" width="4.26953125" customWidth="1"/>
  </cols>
  <sheetData>
    <row r="1" spans="1:84" ht="12.75" customHeight="1" x14ac:dyDescent="0.25">
      <c r="A1" s="841" t="s">
        <v>305</v>
      </c>
      <c r="B1" s="841"/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</row>
    <row r="2" spans="1:84" ht="12.75" customHeight="1" x14ac:dyDescent="0.25">
      <c r="A2" s="841"/>
      <c r="B2" s="841"/>
      <c r="C2" s="841"/>
      <c r="D2" s="841"/>
      <c r="E2" s="841"/>
      <c r="F2" s="841"/>
      <c r="G2" s="841"/>
      <c r="H2" s="841"/>
      <c r="I2" s="841"/>
      <c r="J2" s="841"/>
      <c r="K2" s="841"/>
      <c r="L2" s="841"/>
      <c r="M2" s="841"/>
      <c r="N2" s="841"/>
      <c r="O2" s="841"/>
      <c r="P2" s="841"/>
      <c r="Q2" s="841"/>
      <c r="R2" s="841"/>
      <c r="S2" s="841"/>
      <c r="T2" s="841"/>
      <c r="U2" s="841"/>
    </row>
    <row r="3" spans="1:84" ht="13.5" customHeight="1" thickBot="1" x14ac:dyDescent="0.3">
      <c r="A3" s="842"/>
      <c r="B3" s="842"/>
      <c r="C3" s="842"/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842"/>
      <c r="P3" s="842"/>
      <c r="Q3" s="842"/>
      <c r="R3" s="842"/>
      <c r="S3" s="842"/>
      <c r="T3" s="842"/>
      <c r="U3" s="842"/>
    </row>
    <row r="4" spans="1:84" ht="15.75" customHeight="1" thickBot="1" x14ac:dyDescent="0.35">
      <c r="A4" s="363"/>
      <c r="B4" s="364" t="s">
        <v>189</v>
      </c>
      <c r="C4" s="365" t="s">
        <v>116</v>
      </c>
      <c r="D4" s="857" t="s">
        <v>76</v>
      </c>
      <c r="E4" s="858"/>
      <c r="F4" s="366" t="s">
        <v>189</v>
      </c>
      <c r="G4" s="367" t="s">
        <v>116</v>
      </c>
      <c r="H4" s="831" t="s">
        <v>76</v>
      </c>
      <c r="I4" s="832"/>
      <c r="J4" s="368" t="s">
        <v>189</v>
      </c>
      <c r="K4" s="367" t="s">
        <v>116</v>
      </c>
      <c r="L4" s="831" t="s">
        <v>76</v>
      </c>
      <c r="M4" s="832"/>
      <c r="N4" s="369" t="s">
        <v>189</v>
      </c>
      <c r="O4" s="367" t="s">
        <v>116</v>
      </c>
      <c r="P4" s="831" t="s">
        <v>76</v>
      </c>
      <c r="Q4" s="832"/>
      <c r="R4" s="368" t="s">
        <v>189</v>
      </c>
      <c r="S4" s="367" t="s">
        <v>116</v>
      </c>
      <c r="T4" s="831" t="s">
        <v>76</v>
      </c>
      <c r="U4" s="832"/>
      <c r="V4" s="372" t="s">
        <v>189</v>
      </c>
      <c r="W4" s="373" t="s">
        <v>116</v>
      </c>
      <c r="X4" s="831" t="s">
        <v>76</v>
      </c>
      <c r="Y4" s="834"/>
      <c r="Z4" s="372" t="s">
        <v>189</v>
      </c>
      <c r="AA4" s="373" t="s">
        <v>116</v>
      </c>
      <c r="AB4" s="831" t="s">
        <v>76</v>
      </c>
      <c r="AC4" s="832"/>
      <c r="AD4" s="374" t="s">
        <v>189</v>
      </c>
      <c r="AE4" s="367" t="s">
        <v>116</v>
      </c>
      <c r="AF4" s="831" t="s">
        <v>76</v>
      </c>
      <c r="AG4" s="832"/>
      <c r="AH4" s="369" t="s">
        <v>189</v>
      </c>
      <c r="AI4" s="367" t="s">
        <v>116</v>
      </c>
      <c r="AJ4" s="831" t="s">
        <v>76</v>
      </c>
      <c r="AK4" s="832"/>
      <c r="AL4" s="372" t="s">
        <v>189</v>
      </c>
      <c r="AM4" s="373" t="s">
        <v>116</v>
      </c>
      <c r="AN4" s="831" t="s">
        <v>76</v>
      </c>
      <c r="AO4" s="832"/>
      <c r="AP4" s="215"/>
      <c r="AQ4" s="206" t="s">
        <v>189</v>
      </c>
      <c r="AR4" s="207" t="s">
        <v>116</v>
      </c>
      <c r="AS4" s="849" t="s">
        <v>76</v>
      </c>
      <c r="AT4" s="850"/>
      <c r="AU4" s="208" t="s">
        <v>189</v>
      </c>
      <c r="AV4" s="209" t="s">
        <v>116</v>
      </c>
      <c r="AW4" s="836" t="s">
        <v>76</v>
      </c>
      <c r="AX4" s="837"/>
      <c r="AY4" s="210" t="s">
        <v>189</v>
      </c>
      <c r="AZ4" s="209" t="s">
        <v>116</v>
      </c>
      <c r="BA4" s="836" t="s">
        <v>76</v>
      </c>
      <c r="BB4" s="837"/>
      <c r="BC4" s="211" t="s">
        <v>189</v>
      </c>
      <c r="BD4" s="209" t="s">
        <v>116</v>
      </c>
      <c r="BE4" s="836" t="s">
        <v>76</v>
      </c>
      <c r="BF4" s="837"/>
      <c r="BG4" s="210" t="s">
        <v>189</v>
      </c>
      <c r="BH4" s="209" t="s">
        <v>116</v>
      </c>
      <c r="BI4" s="836" t="s">
        <v>76</v>
      </c>
      <c r="BJ4" s="837"/>
      <c r="BK4" s="219" t="s">
        <v>189</v>
      </c>
      <c r="BL4" s="220" t="s">
        <v>116</v>
      </c>
      <c r="BM4" s="836" t="s">
        <v>76</v>
      </c>
      <c r="BN4" s="840"/>
      <c r="BO4" s="219" t="s">
        <v>189</v>
      </c>
      <c r="BP4" s="220" t="s">
        <v>116</v>
      </c>
      <c r="BQ4" s="836" t="s">
        <v>76</v>
      </c>
      <c r="BR4" s="837"/>
      <c r="BS4" s="221" t="s">
        <v>189</v>
      </c>
      <c r="BT4" s="209" t="s">
        <v>116</v>
      </c>
      <c r="BU4" s="836" t="s">
        <v>76</v>
      </c>
      <c r="BV4" s="837"/>
      <c r="BW4" s="211" t="s">
        <v>189</v>
      </c>
      <c r="BX4" s="209" t="s">
        <v>116</v>
      </c>
      <c r="BY4" s="836" t="s">
        <v>76</v>
      </c>
      <c r="BZ4" s="837"/>
      <c r="CA4" s="219" t="s">
        <v>189</v>
      </c>
      <c r="CB4" s="220" t="s">
        <v>116</v>
      </c>
      <c r="CC4" s="836" t="s">
        <v>76</v>
      </c>
      <c r="CD4" s="837"/>
    </row>
    <row r="5" spans="1:84" ht="15.75" customHeight="1" x14ac:dyDescent="0.3">
      <c r="A5" s="829" t="s">
        <v>1</v>
      </c>
      <c r="B5" s="847" t="s">
        <v>88</v>
      </c>
      <c r="C5" s="833"/>
      <c r="D5" s="386" t="s">
        <v>203</v>
      </c>
      <c r="E5" s="386" t="s">
        <v>204</v>
      </c>
      <c r="F5" s="833" t="s">
        <v>89</v>
      </c>
      <c r="G5" s="833"/>
      <c r="H5" s="386" t="s">
        <v>203</v>
      </c>
      <c r="I5" s="386" t="s">
        <v>204</v>
      </c>
      <c r="J5" s="833" t="s">
        <v>96</v>
      </c>
      <c r="K5" s="833"/>
      <c r="L5" s="386" t="s">
        <v>203</v>
      </c>
      <c r="M5" s="386" t="s">
        <v>204</v>
      </c>
      <c r="N5" s="833" t="s">
        <v>99</v>
      </c>
      <c r="O5" s="833"/>
      <c r="P5" s="386" t="s">
        <v>203</v>
      </c>
      <c r="Q5" s="386" t="s">
        <v>204</v>
      </c>
      <c r="R5" s="833" t="s">
        <v>110</v>
      </c>
      <c r="S5" s="833"/>
      <c r="T5" s="386" t="s">
        <v>203</v>
      </c>
      <c r="U5" s="386" t="s">
        <v>204</v>
      </c>
      <c r="V5" s="835" t="s">
        <v>117</v>
      </c>
      <c r="W5" s="835"/>
      <c r="X5" s="386" t="s">
        <v>203</v>
      </c>
      <c r="Y5" s="386" t="s">
        <v>204</v>
      </c>
      <c r="Z5" s="833" t="s">
        <v>118</v>
      </c>
      <c r="AA5" s="833"/>
      <c r="AB5" s="386" t="s">
        <v>203</v>
      </c>
      <c r="AC5" s="386" t="s">
        <v>204</v>
      </c>
      <c r="AD5" s="833" t="s">
        <v>119</v>
      </c>
      <c r="AE5" s="833"/>
      <c r="AF5" s="386" t="s">
        <v>203</v>
      </c>
      <c r="AG5" s="386" t="s">
        <v>204</v>
      </c>
      <c r="AH5" s="833" t="s">
        <v>120</v>
      </c>
      <c r="AI5" s="833"/>
      <c r="AJ5" s="386" t="s">
        <v>203</v>
      </c>
      <c r="AK5" s="386" t="s">
        <v>204</v>
      </c>
      <c r="AL5" s="833" t="s">
        <v>128</v>
      </c>
      <c r="AM5" s="833"/>
      <c r="AN5" s="386" t="s">
        <v>203</v>
      </c>
      <c r="AO5" s="386" t="s">
        <v>204</v>
      </c>
      <c r="AP5" s="843" t="s">
        <v>1</v>
      </c>
      <c r="AQ5" s="839" t="s">
        <v>88</v>
      </c>
      <c r="AR5" s="839"/>
      <c r="AS5" s="387" t="s">
        <v>203</v>
      </c>
      <c r="AT5" s="387" t="s">
        <v>204</v>
      </c>
      <c r="AU5" s="839" t="s">
        <v>89</v>
      </c>
      <c r="AV5" s="839"/>
      <c r="AW5" s="387" t="s">
        <v>203</v>
      </c>
      <c r="AX5" s="387" t="s">
        <v>204</v>
      </c>
      <c r="AY5" s="839" t="s">
        <v>96</v>
      </c>
      <c r="AZ5" s="839"/>
      <c r="BA5" s="387" t="s">
        <v>203</v>
      </c>
      <c r="BB5" s="387" t="s">
        <v>204</v>
      </c>
      <c r="BC5" s="839" t="s">
        <v>99</v>
      </c>
      <c r="BD5" s="839"/>
      <c r="BE5" s="387" t="s">
        <v>203</v>
      </c>
      <c r="BF5" s="387" t="s">
        <v>204</v>
      </c>
      <c r="BG5" s="839" t="s">
        <v>110</v>
      </c>
      <c r="BH5" s="839"/>
      <c r="BI5" s="387" t="s">
        <v>203</v>
      </c>
      <c r="BJ5" s="387" t="s">
        <v>204</v>
      </c>
      <c r="BK5" s="838" t="s">
        <v>117</v>
      </c>
      <c r="BL5" s="838"/>
      <c r="BM5" s="387" t="s">
        <v>203</v>
      </c>
      <c r="BN5" s="387" t="s">
        <v>204</v>
      </c>
      <c r="BO5" s="839" t="s">
        <v>118</v>
      </c>
      <c r="BP5" s="839"/>
      <c r="BQ5" s="387" t="s">
        <v>203</v>
      </c>
      <c r="BR5" s="387" t="s">
        <v>204</v>
      </c>
      <c r="BS5" s="839" t="s">
        <v>119</v>
      </c>
      <c r="BT5" s="839"/>
      <c r="BU5" s="387" t="s">
        <v>203</v>
      </c>
      <c r="BV5" s="387" t="s">
        <v>204</v>
      </c>
      <c r="BW5" s="839" t="s">
        <v>120</v>
      </c>
      <c r="BX5" s="839"/>
      <c r="BY5" s="387" t="s">
        <v>203</v>
      </c>
      <c r="BZ5" s="387" t="s">
        <v>204</v>
      </c>
      <c r="CA5" s="839" t="s">
        <v>128</v>
      </c>
      <c r="CB5" s="839"/>
      <c r="CC5" s="387" t="s">
        <v>203</v>
      </c>
      <c r="CD5" s="388" t="s">
        <v>204</v>
      </c>
    </row>
    <row r="6" spans="1:84" s="57" customFormat="1" x14ac:dyDescent="0.3">
      <c r="A6" s="830"/>
      <c r="B6" s="11">
        <v>168</v>
      </c>
      <c r="C6" s="10" t="s">
        <v>424</v>
      </c>
      <c r="D6" s="18">
        <v>160</v>
      </c>
      <c r="E6" s="18">
        <v>210</v>
      </c>
      <c r="F6" s="135">
        <v>235</v>
      </c>
      <c r="G6" s="10" t="s">
        <v>219</v>
      </c>
      <c r="H6" s="21">
        <v>90</v>
      </c>
      <c r="I6" s="21">
        <v>100</v>
      </c>
      <c r="J6" s="135">
        <v>185</v>
      </c>
      <c r="K6" s="10" t="s">
        <v>425</v>
      </c>
      <c r="L6" s="19">
        <v>160</v>
      </c>
      <c r="M6" s="19">
        <v>210</v>
      </c>
      <c r="N6" s="135">
        <v>216</v>
      </c>
      <c r="O6" s="10" t="s">
        <v>100</v>
      </c>
      <c r="P6" s="21" t="s">
        <v>393</v>
      </c>
      <c r="Q6" s="19" t="s">
        <v>426</v>
      </c>
      <c r="R6" s="135">
        <v>185</v>
      </c>
      <c r="S6" s="10" t="s">
        <v>325</v>
      </c>
      <c r="T6" s="19">
        <v>150</v>
      </c>
      <c r="U6" s="19">
        <v>200</v>
      </c>
      <c r="V6" s="135">
        <v>185</v>
      </c>
      <c r="W6" s="10" t="s">
        <v>97</v>
      </c>
      <c r="X6" s="18">
        <v>160</v>
      </c>
      <c r="Y6" s="18">
        <v>210</v>
      </c>
      <c r="Z6" s="135">
        <v>237</v>
      </c>
      <c r="AA6" s="10" t="s">
        <v>255</v>
      </c>
      <c r="AB6" s="19" t="s">
        <v>453</v>
      </c>
      <c r="AC6" s="19" t="s">
        <v>453</v>
      </c>
      <c r="AD6" s="135">
        <v>215</v>
      </c>
      <c r="AE6" s="10" t="s">
        <v>420</v>
      </c>
      <c r="AF6" s="19" t="s">
        <v>274</v>
      </c>
      <c r="AG6" s="19" t="s">
        <v>274</v>
      </c>
      <c r="AH6" s="135">
        <v>207</v>
      </c>
      <c r="AI6" s="10" t="s">
        <v>454</v>
      </c>
      <c r="AJ6" s="21">
        <v>155</v>
      </c>
      <c r="AK6" s="21">
        <v>205</v>
      </c>
      <c r="AL6" s="135">
        <v>168</v>
      </c>
      <c r="AM6" s="10" t="s">
        <v>455</v>
      </c>
      <c r="AN6" s="21">
        <v>160</v>
      </c>
      <c r="AO6" s="21">
        <v>210</v>
      </c>
      <c r="AP6" s="844"/>
      <c r="AQ6" s="354">
        <v>185</v>
      </c>
      <c r="AR6" s="317" t="s">
        <v>375</v>
      </c>
      <c r="AS6" s="319">
        <v>160</v>
      </c>
      <c r="AT6" s="319">
        <v>210</v>
      </c>
      <c r="AU6" s="354">
        <v>235</v>
      </c>
      <c r="AV6" s="317" t="s">
        <v>219</v>
      </c>
      <c r="AW6" s="319">
        <v>90</v>
      </c>
      <c r="AX6" s="319">
        <v>100</v>
      </c>
      <c r="AY6" s="354">
        <v>185</v>
      </c>
      <c r="AZ6" s="317" t="s">
        <v>97</v>
      </c>
      <c r="BA6" s="331">
        <v>160</v>
      </c>
      <c r="BB6" s="331">
        <v>210</v>
      </c>
      <c r="BC6" s="354">
        <v>168</v>
      </c>
      <c r="BD6" s="317" t="s">
        <v>325</v>
      </c>
      <c r="BE6" s="331">
        <v>150</v>
      </c>
      <c r="BF6" s="331">
        <v>200</v>
      </c>
      <c r="BG6" s="354">
        <v>228</v>
      </c>
      <c r="BH6" s="317" t="s">
        <v>389</v>
      </c>
      <c r="BI6" s="385" t="s">
        <v>274</v>
      </c>
      <c r="BJ6" s="385" t="s">
        <v>274</v>
      </c>
      <c r="BK6" s="354" t="s">
        <v>396</v>
      </c>
      <c r="BL6" s="317" t="s">
        <v>397</v>
      </c>
      <c r="BM6" s="331">
        <v>150</v>
      </c>
      <c r="BN6" s="331">
        <v>200</v>
      </c>
      <c r="BO6" s="354">
        <v>216</v>
      </c>
      <c r="BP6" s="317" t="s">
        <v>100</v>
      </c>
      <c r="BQ6" s="331" t="s">
        <v>274</v>
      </c>
      <c r="BR6" s="331" t="s">
        <v>274</v>
      </c>
      <c r="BS6" s="354">
        <v>185</v>
      </c>
      <c r="BT6" s="317" t="s">
        <v>331</v>
      </c>
      <c r="BU6" s="331">
        <v>150</v>
      </c>
      <c r="BV6" s="331">
        <v>200</v>
      </c>
      <c r="BW6" s="354">
        <v>237</v>
      </c>
      <c r="BX6" s="317" t="s">
        <v>417</v>
      </c>
      <c r="BY6" s="331">
        <v>150</v>
      </c>
      <c r="BZ6" s="331">
        <v>150</v>
      </c>
      <c r="CA6" s="354">
        <v>216</v>
      </c>
      <c r="CB6" s="317" t="s">
        <v>420</v>
      </c>
      <c r="CC6" s="331">
        <v>150</v>
      </c>
      <c r="CD6" s="332">
        <v>150</v>
      </c>
    </row>
    <row r="7" spans="1:84" s="57" customFormat="1" x14ac:dyDescent="0.3">
      <c r="A7" s="830"/>
      <c r="B7" s="11">
        <v>1</v>
      </c>
      <c r="C7" s="10" t="s">
        <v>283</v>
      </c>
      <c r="D7" s="114">
        <v>24</v>
      </c>
      <c r="E7" s="114">
        <v>30</v>
      </c>
      <c r="F7" s="135">
        <v>351</v>
      </c>
      <c r="G7" s="10" t="s">
        <v>213</v>
      </c>
      <c r="H7" s="21">
        <v>30</v>
      </c>
      <c r="I7" s="21">
        <v>30</v>
      </c>
      <c r="J7" s="135">
        <v>1</v>
      </c>
      <c r="K7" s="10" t="s">
        <v>283</v>
      </c>
      <c r="L7" s="119">
        <v>24</v>
      </c>
      <c r="M7" s="119">
        <v>30</v>
      </c>
      <c r="N7" s="135">
        <v>1</v>
      </c>
      <c r="O7" s="10" t="s">
        <v>283</v>
      </c>
      <c r="P7" s="119">
        <v>24</v>
      </c>
      <c r="Q7" s="119">
        <v>30</v>
      </c>
      <c r="R7" s="135">
        <v>1</v>
      </c>
      <c r="S7" s="10" t="s">
        <v>283</v>
      </c>
      <c r="T7" s="119">
        <v>24</v>
      </c>
      <c r="U7" s="119">
        <v>30</v>
      </c>
      <c r="V7" s="135">
        <v>3</v>
      </c>
      <c r="W7" s="10" t="s">
        <v>216</v>
      </c>
      <c r="X7" s="375" t="s">
        <v>456</v>
      </c>
      <c r="Y7" s="375" t="s">
        <v>457</v>
      </c>
      <c r="Z7" s="135">
        <v>1</v>
      </c>
      <c r="AA7" s="10" t="s">
        <v>283</v>
      </c>
      <c r="AB7" s="119">
        <v>24</v>
      </c>
      <c r="AC7" s="119">
        <v>30</v>
      </c>
      <c r="AD7" s="135">
        <v>1</v>
      </c>
      <c r="AE7" s="10" t="s">
        <v>283</v>
      </c>
      <c r="AF7" s="119">
        <v>24</v>
      </c>
      <c r="AG7" s="119">
        <v>30</v>
      </c>
      <c r="AH7" s="135">
        <v>1</v>
      </c>
      <c r="AI7" s="10" t="s">
        <v>283</v>
      </c>
      <c r="AJ7" s="119">
        <v>24</v>
      </c>
      <c r="AK7" s="119">
        <v>30</v>
      </c>
      <c r="AL7" s="135">
        <v>3</v>
      </c>
      <c r="AM7" s="10" t="s">
        <v>216</v>
      </c>
      <c r="AN7" s="376" t="s">
        <v>456</v>
      </c>
      <c r="AO7" s="376" t="s">
        <v>457</v>
      </c>
      <c r="AP7" s="844"/>
      <c r="AQ7" s="354">
        <v>1</v>
      </c>
      <c r="AR7" s="317" t="s">
        <v>283</v>
      </c>
      <c r="AS7" s="318">
        <v>24</v>
      </c>
      <c r="AT7" s="318">
        <v>30</v>
      </c>
      <c r="AU7" s="135">
        <v>351</v>
      </c>
      <c r="AV7" s="317" t="s">
        <v>380</v>
      </c>
      <c r="AW7" s="21">
        <v>30</v>
      </c>
      <c r="AX7" s="21">
        <v>30</v>
      </c>
      <c r="AY7" s="354">
        <v>3</v>
      </c>
      <c r="AZ7" s="317" t="s">
        <v>378</v>
      </c>
      <c r="BA7" s="328" t="s">
        <v>354</v>
      </c>
      <c r="BB7" s="328" t="s">
        <v>379</v>
      </c>
      <c r="BC7" s="354">
        <v>3</v>
      </c>
      <c r="BD7" s="317" t="s">
        <v>386</v>
      </c>
      <c r="BE7" s="328" t="s">
        <v>354</v>
      </c>
      <c r="BF7" s="328" t="s">
        <v>379</v>
      </c>
      <c r="BG7" s="354">
        <v>3</v>
      </c>
      <c r="BH7" s="317" t="s">
        <v>216</v>
      </c>
      <c r="BI7" s="328" t="s">
        <v>352</v>
      </c>
      <c r="BJ7" s="328" t="s">
        <v>353</v>
      </c>
      <c r="BK7" s="354">
        <v>2</v>
      </c>
      <c r="BL7" s="317" t="s">
        <v>398</v>
      </c>
      <c r="BM7" s="328" t="s">
        <v>354</v>
      </c>
      <c r="BN7" s="328" t="s">
        <v>399</v>
      </c>
      <c r="BO7" s="354">
        <v>1</v>
      </c>
      <c r="BP7" s="317" t="s">
        <v>283</v>
      </c>
      <c r="BQ7" s="318">
        <v>24</v>
      </c>
      <c r="BR7" s="318">
        <v>30</v>
      </c>
      <c r="BS7" s="354">
        <v>3</v>
      </c>
      <c r="BT7" s="317" t="s">
        <v>378</v>
      </c>
      <c r="BU7" s="328" t="s">
        <v>354</v>
      </c>
      <c r="BV7" s="328" t="s">
        <v>379</v>
      </c>
      <c r="BW7" s="354">
        <v>3</v>
      </c>
      <c r="BX7" s="317" t="s">
        <v>386</v>
      </c>
      <c r="BY7" s="328" t="s">
        <v>352</v>
      </c>
      <c r="BZ7" s="328" t="s">
        <v>353</v>
      </c>
      <c r="CA7" s="354">
        <v>3</v>
      </c>
      <c r="CB7" s="317" t="s">
        <v>216</v>
      </c>
      <c r="CC7" s="328" t="s">
        <v>352</v>
      </c>
      <c r="CD7" s="329" t="s">
        <v>368</v>
      </c>
    </row>
    <row r="8" spans="1:84" s="57" customFormat="1" ht="13.5" thickBot="1" x14ac:dyDescent="0.35">
      <c r="A8" s="830"/>
      <c r="B8" s="11">
        <v>6</v>
      </c>
      <c r="C8" s="10" t="s">
        <v>28</v>
      </c>
      <c r="D8" s="18">
        <v>10</v>
      </c>
      <c r="E8" s="18">
        <v>10</v>
      </c>
      <c r="F8" s="123">
        <v>394</v>
      </c>
      <c r="G8" s="10" t="s">
        <v>50</v>
      </c>
      <c r="H8" s="21">
        <v>150</v>
      </c>
      <c r="I8" s="21">
        <v>180</v>
      </c>
      <c r="J8" s="135">
        <v>7</v>
      </c>
      <c r="K8" s="10" t="s">
        <v>82</v>
      </c>
      <c r="L8" s="21">
        <v>5</v>
      </c>
      <c r="M8" s="21">
        <v>10</v>
      </c>
      <c r="N8" s="135">
        <v>6</v>
      </c>
      <c r="O8" s="10" t="s">
        <v>28</v>
      </c>
      <c r="P8" s="21">
        <v>10</v>
      </c>
      <c r="Q8" s="21">
        <v>10</v>
      </c>
      <c r="R8" s="135">
        <v>7</v>
      </c>
      <c r="S8" s="10" t="s">
        <v>82</v>
      </c>
      <c r="T8" s="21">
        <v>5</v>
      </c>
      <c r="U8" s="21">
        <v>10</v>
      </c>
      <c r="V8" s="135">
        <v>397</v>
      </c>
      <c r="W8" s="10" t="s">
        <v>53</v>
      </c>
      <c r="X8" s="18">
        <v>150</v>
      </c>
      <c r="Y8" s="18">
        <v>180</v>
      </c>
      <c r="Z8" s="135">
        <v>7</v>
      </c>
      <c r="AA8" s="10" t="s">
        <v>82</v>
      </c>
      <c r="AB8" s="21">
        <v>5</v>
      </c>
      <c r="AC8" s="21">
        <v>10</v>
      </c>
      <c r="AD8" s="135">
        <v>7</v>
      </c>
      <c r="AE8" s="10" t="s">
        <v>82</v>
      </c>
      <c r="AF8" s="21">
        <v>5</v>
      </c>
      <c r="AG8" s="21">
        <v>10</v>
      </c>
      <c r="AH8" s="135">
        <v>6</v>
      </c>
      <c r="AI8" s="10" t="s">
        <v>28</v>
      </c>
      <c r="AJ8" s="21">
        <v>10</v>
      </c>
      <c r="AK8" s="21">
        <v>10</v>
      </c>
      <c r="AL8" s="135">
        <v>394</v>
      </c>
      <c r="AM8" s="10" t="s">
        <v>50</v>
      </c>
      <c r="AN8" s="19">
        <v>150</v>
      </c>
      <c r="AO8" s="19">
        <v>180</v>
      </c>
      <c r="AP8" s="844"/>
      <c r="AQ8" s="354">
        <v>6</v>
      </c>
      <c r="AR8" s="317" t="s">
        <v>28</v>
      </c>
      <c r="AS8" s="319">
        <v>5</v>
      </c>
      <c r="AT8" s="319">
        <v>5</v>
      </c>
      <c r="AU8" s="135">
        <v>394</v>
      </c>
      <c r="AV8" s="10" t="s">
        <v>50</v>
      </c>
      <c r="AW8" s="21">
        <v>150</v>
      </c>
      <c r="AX8" s="21">
        <v>180</v>
      </c>
      <c r="AY8" s="135">
        <v>397</v>
      </c>
      <c r="AZ8" s="10" t="s">
        <v>53</v>
      </c>
      <c r="BA8" s="19">
        <v>150</v>
      </c>
      <c r="BB8" s="19">
        <v>180</v>
      </c>
      <c r="BC8" s="354">
        <v>394</v>
      </c>
      <c r="BD8" s="317" t="s">
        <v>50</v>
      </c>
      <c r="BE8" s="319">
        <v>150</v>
      </c>
      <c r="BF8" s="319">
        <v>180</v>
      </c>
      <c r="BG8" s="135">
        <v>400</v>
      </c>
      <c r="BH8" s="10" t="s">
        <v>390</v>
      </c>
      <c r="BI8" s="19">
        <v>200</v>
      </c>
      <c r="BJ8" s="19">
        <v>200</v>
      </c>
      <c r="BK8" s="354">
        <v>392</v>
      </c>
      <c r="BL8" s="317" t="s">
        <v>400</v>
      </c>
      <c r="BM8" s="323">
        <v>150</v>
      </c>
      <c r="BN8" s="323">
        <v>180</v>
      </c>
      <c r="BO8" s="354">
        <v>6</v>
      </c>
      <c r="BP8" s="317" t="s">
        <v>28</v>
      </c>
      <c r="BQ8" s="319">
        <v>5</v>
      </c>
      <c r="BR8" s="319">
        <v>5</v>
      </c>
      <c r="BS8" s="354">
        <v>6</v>
      </c>
      <c r="BT8" s="317" t="s">
        <v>28</v>
      </c>
      <c r="BU8" s="319">
        <v>5</v>
      </c>
      <c r="BV8" s="319">
        <v>5</v>
      </c>
      <c r="BW8" s="354">
        <v>400</v>
      </c>
      <c r="BX8" s="317" t="s">
        <v>390</v>
      </c>
      <c r="BY8" s="331">
        <v>200</v>
      </c>
      <c r="BZ8" s="331">
        <v>200</v>
      </c>
      <c r="CA8" s="354">
        <v>401</v>
      </c>
      <c r="CB8" s="335" t="s">
        <v>156</v>
      </c>
      <c r="CC8" s="336">
        <v>200</v>
      </c>
      <c r="CD8" s="353">
        <v>200</v>
      </c>
    </row>
    <row r="9" spans="1:84" s="57" customFormat="1" ht="13.5" thickBot="1" x14ac:dyDescent="0.35">
      <c r="A9" s="846"/>
      <c r="B9" s="13">
        <v>395</v>
      </c>
      <c r="C9" s="12" t="s">
        <v>71</v>
      </c>
      <c r="D9" s="112">
        <v>150</v>
      </c>
      <c r="E9" s="112">
        <v>180</v>
      </c>
      <c r="F9" s="136">
        <v>1</v>
      </c>
      <c r="G9" s="12" t="s">
        <v>283</v>
      </c>
      <c r="H9" s="117">
        <v>24</v>
      </c>
      <c r="I9" s="117">
        <v>30</v>
      </c>
      <c r="J9" s="136">
        <v>397</v>
      </c>
      <c r="K9" s="12" t="s">
        <v>53</v>
      </c>
      <c r="L9" s="23">
        <v>150</v>
      </c>
      <c r="M9" s="23">
        <v>180</v>
      </c>
      <c r="N9" s="136">
        <v>400</v>
      </c>
      <c r="O9" s="12" t="s">
        <v>390</v>
      </c>
      <c r="P9" s="23">
        <v>180</v>
      </c>
      <c r="Q9" s="23">
        <v>200</v>
      </c>
      <c r="R9" s="136">
        <v>394</v>
      </c>
      <c r="S9" s="12" t="s">
        <v>50</v>
      </c>
      <c r="T9" s="124" t="s">
        <v>427</v>
      </c>
      <c r="U9" s="124" t="s">
        <v>428</v>
      </c>
      <c r="V9" s="136"/>
      <c r="W9" s="12"/>
      <c r="X9" s="131"/>
      <c r="Y9" s="131"/>
      <c r="Z9" s="136">
        <v>392</v>
      </c>
      <c r="AA9" s="12" t="s">
        <v>258</v>
      </c>
      <c r="AB9" s="23">
        <v>150</v>
      </c>
      <c r="AC9" s="23">
        <v>180</v>
      </c>
      <c r="AD9" s="136">
        <v>396</v>
      </c>
      <c r="AE9" s="12" t="s">
        <v>458</v>
      </c>
      <c r="AF9" s="23">
        <v>150</v>
      </c>
      <c r="AG9" s="23">
        <v>180</v>
      </c>
      <c r="AH9" s="136">
        <v>397</v>
      </c>
      <c r="AI9" s="12" t="s">
        <v>53</v>
      </c>
      <c r="AJ9" s="23">
        <v>150</v>
      </c>
      <c r="AK9" s="23">
        <v>180</v>
      </c>
      <c r="AL9" s="136">
        <v>368</v>
      </c>
      <c r="AM9" s="12" t="s">
        <v>115</v>
      </c>
      <c r="AN9" s="23">
        <v>100</v>
      </c>
      <c r="AO9" s="23"/>
      <c r="AP9" s="845"/>
      <c r="AQ9" s="389">
        <v>395</v>
      </c>
      <c r="AR9" s="321" t="s">
        <v>71</v>
      </c>
      <c r="AS9" s="322">
        <v>150</v>
      </c>
      <c r="AT9" s="322">
        <v>180</v>
      </c>
      <c r="AU9" s="136">
        <v>1</v>
      </c>
      <c r="AV9" s="321" t="s">
        <v>283</v>
      </c>
      <c r="AW9" s="117">
        <v>24</v>
      </c>
      <c r="AX9" s="117">
        <v>30</v>
      </c>
      <c r="AY9" s="136"/>
      <c r="AZ9" s="12"/>
      <c r="BA9" s="124"/>
      <c r="BB9" s="124"/>
      <c r="BC9" s="136"/>
      <c r="BD9" s="12"/>
      <c r="BE9" s="112"/>
      <c r="BF9" s="112"/>
      <c r="BG9" s="136"/>
      <c r="BH9" s="12"/>
      <c r="BI9" s="23"/>
      <c r="BJ9" s="23"/>
      <c r="BK9" s="136"/>
      <c r="BL9" s="12"/>
      <c r="BM9" s="131"/>
      <c r="BN9" s="131"/>
      <c r="BO9" s="389">
        <v>397</v>
      </c>
      <c r="BP9" s="321" t="s">
        <v>53</v>
      </c>
      <c r="BQ9" s="390">
        <v>150</v>
      </c>
      <c r="BR9" s="390">
        <v>180</v>
      </c>
      <c r="BS9" s="389">
        <v>392</v>
      </c>
      <c r="BT9" s="321" t="s">
        <v>409</v>
      </c>
      <c r="BU9" s="333">
        <v>150</v>
      </c>
      <c r="BV9" s="333">
        <v>180</v>
      </c>
      <c r="BW9" s="389"/>
      <c r="BX9" s="321"/>
      <c r="BY9" s="333"/>
      <c r="BZ9" s="333"/>
      <c r="CA9" s="391">
        <v>368</v>
      </c>
      <c r="CB9" s="338" t="s">
        <v>115</v>
      </c>
      <c r="CC9" s="339">
        <v>100</v>
      </c>
      <c r="CD9" s="340"/>
    </row>
    <row r="10" spans="1:84" s="57" customFormat="1" ht="13.5" thickBot="1" x14ac:dyDescent="0.35">
      <c r="A10" s="370" t="s">
        <v>83</v>
      </c>
      <c r="B10" s="118">
        <v>399</v>
      </c>
      <c r="C10" s="22" t="s">
        <v>84</v>
      </c>
      <c r="D10" s="42">
        <v>200</v>
      </c>
      <c r="E10" s="42">
        <v>200</v>
      </c>
      <c r="F10" s="118">
        <v>368</v>
      </c>
      <c r="G10" s="113" t="s">
        <v>192</v>
      </c>
      <c r="H10" s="371">
        <v>100</v>
      </c>
      <c r="I10" s="371">
        <v>100</v>
      </c>
      <c r="J10" s="118">
        <v>399</v>
      </c>
      <c r="K10" s="113" t="s">
        <v>84</v>
      </c>
      <c r="L10" s="371">
        <v>200</v>
      </c>
      <c r="M10" s="371">
        <v>200</v>
      </c>
      <c r="N10" s="118">
        <v>368</v>
      </c>
      <c r="O10" s="113" t="s">
        <v>115</v>
      </c>
      <c r="P10" s="371">
        <v>100</v>
      </c>
      <c r="Q10" s="371">
        <v>100</v>
      </c>
      <c r="R10" s="118">
        <v>399</v>
      </c>
      <c r="S10" s="113" t="s">
        <v>84</v>
      </c>
      <c r="T10" s="371">
        <v>200</v>
      </c>
      <c r="U10" s="371">
        <v>200</v>
      </c>
      <c r="V10" s="118">
        <v>399</v>
      </c>
      <c r="W10" s="22" t="s">
        <v>212</v>
      </c>
      <c r="X10" s="377" t="s">
        <v>205</v>
      </c>
      <c r="Y10" s="378" t="s">
        <v>205</v>
      </c>
      <c r="Z10" s="118">
        <v>368</v>
      </c>
      <c r="AA10" s="113" t="s">
        <v>115</v>
      </c>
      <c r="AB10" s="371">
        <v>100</v>
      </c>
      <c r="AC10" s="371">
        <v>100</v>
      </c>
      <c r="AD10" s="379">
        <v>368</v>
      </c>
      <c r="AE10" s="22" t="s">
        <v>212</v>
      </c>
      <c r="AF10" s="137" t="s">
        <v>205</v>
      </c>
      <c r="AG10" s="138" t="s">
        <v>205</v>
      </c>
      <c r="AH10" s="288">
        <v>368</v>
      </c>
      <c r="AI10" s="113" t="s">
        <v>192</v>
      </c>
      <c r="AJ10" s="371">
        <v>100</v>
      </c>
      <c r="AK10" s="380">
        <v>100</v>
      </c>
      <c r="AL10" s="383">
        <v>399</v>
      </c>
      <c r="AM10" s="22" t="s">
        <v>212</v>
      </c>
      <c r="AN10" s="137"/>
      <c r="AO10" s="138" t="s">
        <v>205</v>
      </c>
      <c r="AP10" s="384" t="s">
        <v>83</v>
      </c>
      <c r="AQ10" s="341">
        <v>399</v>
      </c>
      <c r="AR10" s="348" t="s">
        <v>84</v>
      </c>
      <c r="AS10" s="349">
        <v>200</v>
      </c>
      <c r="AT10" s="349">
        <v>200</v>
      </c>
      <c r="AU10" s="392">
        <v>368</v>
      </c>
      <c r="AV10" s="348" t="s">
        <v>115</v>
      </c>
      <c r="AW10" s="349">
        <v>100</v>
      </c>
      <c r="AX10" s="349">
        <v>100</v>
      </c>
      <c r="AY10" s="393">
        <v>401</v>
      </c>
      <c r="AZ10" s="342" t="s">
        <v>156</v>
      </c>
      <c r="BA10" s="349">
        <v>200</v>
      </c>
      <c r="BB10" s="394">
        <v>200</v>
      </c>
      <c r="BC10" s="392">
        <v>368</v>
      </c>
      <c r="BD10" s="348" t="s">
        <v>115</v>
      </c>
      <c r="BE10" s="349">
        <v>100</v>
      </c>
      <c r="BF10" s="349">
        <v>100</v>
      </c>
      <c r="BG10" s="341">
        <v>399</v>
      </c>
      <c r="BH10" s="348" t="s">
        <v>84</v>
      </c>
      <c r="BI10" s="349">
        <v>200</v>
      </c>
      <c r="BJ10" s="394">
        <v>200</v>
      </c>
      <c r="BK10" s="341">
        <v>368</v>
      </c>
      <c r="BL10" s="342" t="s">
        <v>212</v>
      </c>
      <c r="BM10" s="343" t="s">
        <v>205</v>
      </c>
      <c r="BN10" s="344" t="s">
        <v>205</v>
      </c>
      <c r="BO10" s="341">
        <v>368</v>
      </c>
      <c r="BP10" s="348" t="s">
        <v>192</v>
      </c>
      <c r="BQ10" s="349">
        <v>100</v>
      </c>
      <c r="BR10" s="394">
        <v>100</v>
      </c>
      <c r="BS10" s="393">
        <v>401</v>
      </c>
      <c r="BT10" s="342" t="s">
        <v>156</v>
      </c>
      <c r="BU10" s="349">
        <v>200</v>
      </c>
      <c r="BV10" s="394">
        <v>200</v>
      </c>
      <c r="BW10" s="347">
        <v>368</v>
      </c>
      <c r="BX10" s="348" t="s">
        <v>192</v>
      </c>
      <c r="BY10" s="349">
        <v>100</v>
      </c>
      <c r="BZ10" s="350">
        <v>100</v>
      </c>
      <c r="CA10" s="395">
        <v>399</v>
      </c>
      <c r="CB10" s="348" t="s">
        <v>212</v>
      </c>
      <c r="CC10" s="343"/>
      <c r="CD10" s="344" t="s">
        <v>205</v>
      </c>
    </row>
    <row r="11" spans="1:84" s="57" customFormat="1" ht="12.75" customHeight="1" x14ac:dyDescent="0.3">
      <c r="A11" s="829" t="s">
        <v>3</v>
      </c>
      <c r="B11" s="398">
        <v>45</v>
      </c>
      <c r="C11" s="27" t="s">
        <v>257</v>
      </c>
      <c r="D11" s="20">
        <v>45</v>
      </c>
      <c r="E11" s="20">
        <v>60</v>
      </c>
      <c r="F11" s="401">
        <v>14</v>
      </c>
      <c r="G11" s="16" t="s">
        <v>429</v>
      </c>
      <c r="H11" s="17">
        <v>45</v>
      </c>
      <c r="I11" s="17"/>
      <c r="J11" s="134">
        <v>15</v>
      </c>
      <c r="K11" s="16" t="s">
        <v>430</v>
      </c>
      <c r="L11" s="20">
        <v>45</v>
      </c>
      <c r="M11" s="20">
        <v>60</v>
      </c>
      <c r="N11" s="134">
        <v>33</v>
      </c>
      <c r="O11" s="16" t="s">
        <v>431</v>
      </c>
      <c r="P11" s="20">
        <v>45</v>
      </c>
      <c r="Q11" s="20">
        <v>60</v>
      </c>
      <c r="R11" s="134">
        <v>25</v>
      </c>
      <c r="S11" s="16" t="s">
        <v>217</v>
      </c>
      <c r="T11" s="20">
        <v>45</v>
      </c>
      <c r="U11" s="20">
        <v>60</v>
      </c>
      <c r="V11" s="134">
        <v>47</v>
      </c>
      <c r="W11" s="16" t="s">
        <v>410</v>
      </c>
      <c r="X11" s="17">
        <v>45</v>
      </c>
      <c r="Y11" s="17">
        <v>60</v>
      </c>
      <c r="Z11" s="134">
        <v>13</v>
      </c>
      <c r="AA11" s="16" t="s">
        <v>129</v>
      </c>
      <c r="AB11" s="20">
        <v>45</v>
      </c>
      <c r="AC11" s="20">
        <v>60</v>
      </c>
      <c r="AD11" s="134">
        <v>13</v>
      </c>
      <c r="AE11" s="16" t="s">
        <v>459</v>
      </c>
      <c r="AF11" s="20">
        <v>45</v>
      </c>
      <c r="AG11" s="20">
        <v>0</v>
      </c>
      <c r="AH11" s="134">
        <v>45</v>
      </c>
      <c r="AI11" s="16" t="s">
        <v>281</v>
      </c>
      <c r="AJ11" s="17">
        <v>45</v>
      </c>
      <c r="AK11" s="17">
        <v>60</v>
      </c>
      <c r="AL11" s="134">
        <v>54</v>
      </c>
      <c r="AM11" s="16" t="s">
        <v>460</v>
      </c>
      <c r="AN11" s="20">
        <v>45</v>
      </c>
      <c r="AO11" s="20">
        <v>60</v>
      </c>
      <c r="AP11" s="843" t="s">
        <v>3</v>
      </c>
      <c r="AQ11" s="402">
        <v>53</v>
      </c>
      <c r="AR11" s="314" t="s">
        <v>257</v>
      </c>
      <c r="AS11" s="315">
        <v>45</v>
      </c>
      <c r="AT11" s="315">
        <v>60</v>
      </c>
      <c r="AU11" s="402">
        <v>19</v>
      </c>
      <c r="AV11" s="314" t="s">
        <v>312</v>
      </c>
      <c r="AW11" s="315">
        <v>45</v>
      </c>
      <c r="AX11" s="315">
        <v>60</v>
      </c>
      <c r="AY11" s="402">
        <v>22</v>
      </c>
      <c r="AZ11" s="314" t="s">
        <v>382</v>
      </c>
      <c r="BA11" s="315">
        <v>45</v>
      </c>
      <c r="BB11" s="315">
        <v>60</v>
      </c>
      <c r="BC11" s="402">
        <v>54</v>
      </c>
      <c r="BD11" s="314" t="s">
        <v>296</v>
      </c>
      <c r="BE11" s="315">
        <v>45</v>
      </c>
      <c r="BF11" s="315">
        <v>60</v>
      </c>
      <c r="BG11" s="402">
        <v>13</v>
      </c>
      <c r="BH11" s="314" t="s">
        <v>129</v>
      </c>
      <c r="BI11" s="345">
        <v>45</v>
      </c>
      <c r="BJ11" s="345">
        <v>60</v>
      </c>
      <c r="BK11" s="402">
        <v>12</v>
      </c>
      <c r="BL11" s="314" t="s">
        <v>401</v>
      </c>
      <c r="BM11" s="345">
        <v>45</v>
      </c>
      <c r="BN11" s="345">
        <v>60</v>
      </c>
      <c r="BO11" s="402">
        <v>15</v>
      </c>
      <c r="BP11" s="314" t="s">
        <v>332</v>
      </c>
      <c r="BQ11" s="351">
        <v>45</v>
      </c>
      <c r="BR11" s="351">
        <v>60</v>
      </c>
      <c r="BS11" s="402">
        <v>48</v>
      </c>
      <c r="BT11" s="314" t="s">
        <v>411</v>
      </c>
      <c r="BU11" s="315">
        <v>45</v>
      </c>
      <c r="BV11" s="315">
        <v>60</v>
      </c>
      <c r="BW11" s="402">
        <v>10</v>
      </c>
      <c r="BX11" s="314" t="s">
        <v>418</v>
      </c>
      <c r="BY11" s="345">
        <v>45</v>
      </c>
      <c r="BZ11" s="345">
        <v>60</v>
      </c>
      <c r="CA11" s="402">
        <v>31</v>
      </c>
      <c r="CB11" s="381" t="s">
        <v>290</v>
      </c>
      <c r="CC11" s="351">
        <v>45</v>
      </c>
      <c r="CD11" s="352">
        <v>60</v>
      </c>
      <c r="CF11" s="314" t="s">
        <v>332</v>
      </c>
    </row>
    <row r="12" spans="1:84" s="3" customFormat="1" x14ac:dyDescent="0.3">
      <c r="A12" s="830"/>
      <c r="B12" s="399">
        <v>87</v>
      </c>
      <c r="C12" s="92" t="s">
        <v>130</v>
      </c>
      <c r="D12" s="18">
        <v>200</v>
      </c>
      <c r="E12" s="18">
        <v>250</v>
      </c>
      <c r="F12" s="115">
        <v>10</v>
      </c>
      <c r="G12" s="10" t="s">
        <v>432</v>
      </c>
      <c r="H12" s="18"/>
      <c r="I12" s="18">
        <v>60</v>
      </c>
      <c r="J12" s="135">
        <v>81</v>
      </c>
      <c r="K12" s="10" t="s">
        <v>214</v>
      </c>
      <c r="L12" s="21">
        <v>200</v>
      </c>
      <c r="M12" s="21">
        <v>250</v>
      </c>
      <c r="N12" s="135">
        <v>75</v>
      </c>
      <c r="O12" s="10" t="s">
        <v>261</v>
      </c>
      <c r="P12" s="19" t="s">
        <v>207</v>
      </c>
      <c r="Q12" s="19" t="s">
        <v>208</v>
      </c>
      <c r="R12" s="135">
        <v>86</v>
      </c>
      <c r="S12" s="10" t="s">
        <v>202</v>
      </c>
      <c r="T12" s="19" t="s">
        <v>167</v>
      </c>
      <c r="U12" s="19" t="s">
        <v>433</v>
      </c>
      <c r="V12" s="135">
        <v>83</v>
      </c>
      <c r="W12" s="10" t="s">
        <v>241</v>
      </c>
      <c r="X12" s="18">
        <v>200</v>
      </c>
      <c r="Y12" s="18">
        <v>250</v>
      </c>
      <c r="Z12" s="135">
        <v>63</v>
      </c>
      <c r="AA12" s="10" t="s">
        <v>330</v>
      </c>
      <c r="AB12" s="19" t="s">
        <v>207</v>
      </c>
      <c r="AC12" s="19" t="s">
        <v>208</v>
      </c>
      <c r="AD12" s="135">
        <v>12</v>
      </c>
      <c r="AE12" s="10" t="s">
        <v>461</v>
      </c>
      <c r="AF12" s="21">
        <v>0</v>
      </c>
      <c r="AG12" s="21">
        <v>60</v>
      </c>
      <c r="AH12" s="135">
        <v>108</v>
      </c>
      <c r="AI12" s="10" t="s">
        <v>462</v>
      </c>
      <c r="AJ12" s="19" t="s">
        <v>463</v>
      </c>
      <c r="AK12" s="19" t="s">
        <v>464</v>
      </c>
      <c r="AL12" s="135">
        <v>58</v>
      </c>
      <c r="AM12" s="10" t="s">
        <v>250</v>
      </c>
      <c r="AN12" s="21">
        <v>200</v>
      </c>
      <c r="AO12" s="21">
        <v>250</v>
      </c>
      <c r="AP12" s="844"/>
      <c r="AQ12" s="354">
        <v>85</v>
      </c>
      <c r="AR12" s="317" t="s">
        <v>376</v>
      </c>
      <c r="AS12" s="323">
        <v>220</v>
      </c>
      <c r="AT12" s="323">
        <v>225</v>
      </c>
      <c r="AU12" s="354">
        <v>56</v>
      </c>
      <c r="AV12" s="317" t="s">
        <v>377</v>
      </c>
      <c r="AW12" s="319">
        <v>200</v>
      </c>
      <c r="AX12" s="319">
        <v>250</v>
      </c>
      <c r="AY12" s="354">
        <v>58</v>
      </c>
      <c r="AZ12" s="317" t="s">
        <v>250</v>
      </c>
      <c r="BA12" s="319">
        <v>210</v>
      </c>
      <c r="BB12" s="319">
        <v>260</v>
      </c>
      <c r="BC12" s="354">
        <v>83</v>
      </c>
      <c r="BD12" s="317" t="s">
        <v>387</v>
      </c>
      <c r="BE12" s="323">
        <v>220</v>
      </c>
      <c r="BF12" s="323">
        <v>225</v>
      </c>
      <c r="BG12" s="396">
        <v>67</v>
      </c>
      <c r="BH12" s="317" t="s">
        <v>327</v>
      </c>
      <c r="BI12" s="331" t="s">
        <v>207</v>
      </c>
      <c r="BJ12" s="331" t="s">
        <v>208</v>
      </c>
      <c r="BK12" s="354">
        <v>74</v>
      </c>
      <c r="BL12" s="317" t="s">
        <v>402</v>
      </c>
      <c r="BM12" s="323">
        <v>220</v>
      </c>
      <c r="BN12" s="323">
        <v>225</v>
      </c>
      <c r="BO12" s="396">
        <v>83</v>
      </c>
      <c r="BP12" s="317" t="s">
        <v>404</v>
      </c>
      <c r="BQ12" s="331" t="s">
        <v>207</v>
      </c>
      <c r="BR12" s="331" t="s">
        <v>208</v>
      </c>
      <c r="BS12" s="354">
        <v>81</v>
      </c>
      <c r="BT12" s="317" t="s">
        <v>214</v>
      </c>
      <c r="BU12" s="319">
        <v>210</v>
      </c>
      <c r="BV12" s="319">
        <v>260</v>
      </c>
      <c r="BW12" s="354">
        <v>86</v>
      </c>
      <c r="BX12" s="317" t="s">
        <v>202</v>
      </c>
      <c r="BY12" s="356" t="s">
        <v>167</v>
      </c>
      <c r="BZ12" s="356">
        <v>250</v>
      </c>
      <c r="CA12" s="354">
        <v>63</v>
      </c>
      <c r="CB12" s="382" t="s">
        <v>330</v>
      </c>
      <c r="CC12" s="356" t="s">
        <v>167</v>
      </c>
      <c r="CD12" s="357">
        <v>250</v>
      </c>
    </row>
    <row r="13" spans="1:84" s="57" customFormat="1" x14ac:dyDescent="0.3">
      <c r="A13" s="830"/>
      <c r="B13" s="399">
        <v>277</v>
      </c>
      <c r="C13" s="92" t="s">
        <v>193</v>
      </c>
      <c r="D13" s="115" t="s">
        <v>87</v>
      </c>
      <c r="E13" s="115" t="s">
        <v>256</v>
      </c>
      <c r="F13" s="135">
        <v>67</v>
      </c>
      <c r="G13" s="10" t="s">
        <v>434</v>
      </c>
      <c r="H13" s="21">
        <v>200</v>
      </c>
      <c r="I13" s="21">
        <v>250</v>
      </c>
      <c r="J13" s="135">
        <v>278</v>
      </c>
      <c r="K13" s="317" t="s">
        <v>435</v>
      </c>
      <c r="L13" s="21">
        <v>50</v>
      </c>
      <c r="M13" s="21">
        <v>60</v>
      </c>
      <c r="N13" s="135">
        <v>276</v>
      </c>
      <c r="O13" s="10" t="s">
        <v>436</v>
      </c>
      <c r="P13" s="19" t="s">
        <v>437</v>
      </c>
      <c r="Q13" s="19" t="s">
        <v>438</v>
      </c>
      <c r="R13" s="135">
        <v>306</v>
      </c>
      <c r="S13" s="10" t="s">
        <v>439</v>
      </c>
      <c r="T13" s="21">
        <v>50</v>
      </c>
      <c r="U13" s="21">
        <v>60</v>
      </c>
      <c r="V13" s="135">
        <v>304</v>
      </c>
      <c r="W13" s="10" t="s">
        <v>465</v>
      </c>
      <c r="X13" s="18">
        <v>160</v>
      </c>
      <c r="Y13" s="18">
        <v>210</v>
      </c>
      <c r="Z13" s="135">
        <v>321</v>
      </c>
      <c r="AA13" s="10" t="s">
        <v>98</v>
      </c>
      <c r="AB13" s="21">
        <v>150</v>
      </c>
      <c r="AC13" s="21">
        <v>150</v>
      </c>
      <c r="AD13" s="135">
        <v>76</v>
      </c>
      <c r="AE13" s="10" t="s">
        <v>466</v>
      </c>
      <c r="AF13" s="21">
        <v>200</v>
      </c>
      <c r="AG13" s="21">
        <v>250</v>
      </c>
      <c r="AH13" s="135">
        <v>132</v>
      </c>
      <c r="AI13" s="10" t="s">
        <v>218</v>
      </c>
      <c r="AJ13" s="21">
        <v>150</v>
      </c>
      <c r="AK13" s="21">
        <v>150</v>
      </c>
      <c r="AL13" s="135">
        <v>258</v>
      </c>
      <c r="AM13" s="10" t="s">
        <v>127</v>
      </c>
      <c r="AN13" s="21">
        <v>60</v>
      </c>
      <c r="AO13" s="21">
        <v>80</v>
      </c>
      <c r="AP13" s="844"/>
      <c r="AQ13" s="325" t="s">
        <v>350</v>
      </c>
      <c r="AR13" s="317" t="s">
        <v>322</v>
      </c>
      <c r="AS13" s="319">
        <v>200</v>
      </c>
      <c r="AT13" s="319">
        <v>200</v>
      </c>
      <c r="AU13" s="354">
        <v>261</v>
      </c>
      <c r="AV13" s="317" t="s">
        <v>199</v>
      </c>
      <c r="AW13" s="331" t="s">
        <v>111</v>
      </c>
      <c r="AX13" s="331" t="s">
        <v>113</v>
      </c>
      <c r="AY13" s="325" t="s">
        <v>314</v>
      </c>
      <c r="AZ13" s="317" t="s">
        <v>315</v>
      </c>
      <c r="BA13" s="319">
        <v>200</v>
      </c>
      <c r="BB13" s="319">
        <v>200</v>
      </c>
      <c r="BC13" s="354">
        <v>306</v>
      </c>
      <c r="BD13" s="317" t="s">
        <v>388</v>
      </c>
      <c r="BE13" s="319">
        <v>60</v>
      </c>
      <c r="BF13" s="319">
        <v>80</v>
      </c>
      <c r="BG13" s="325">
        <v>256</v>
      </c>
      <c r="BH13" s="317" t="s">
        <v>391</v>
      </c>
      <c r="BI13" s="319" t="s">
        <v>392</v>
      </c>
      <c r="BJ13" s="319" t="s">
        <v>393</v>
      </c>
      <c r="BK13" s="354">
        <v>274</v>
      </c>
      <c r="BL13" s="317" t="s">
        <v>220</v>
      </c>
      <c r="BM13" s="319">
        <v>170</v>
      </c>
      <c r="BN13" s="319">
        <v>170</v>
      </c>
      <c r="BO13" s="354">
        <v>307</v>
      </c>
      <c r="BP13" s="317" t="s">
        <v>405</v>
      </c>
      <c r="BQ13" s="319">
        <v>60</v>
      </c>
      <c r="BR13" s="319">
        <v>80</v>
      </c>
      <c r="BS13" s="325">
        <v>258</v>
      </c>
      <c r="BT13" s="317" t="s">
        <v>412</v>
      </c>
      <c r="BU13" s="319">
        <v>60</v>
      </c>
      <c r="BV13" s="319">
        <v>80</v>
      </c>
      <c r="BW13" s="354">
        <v>287</v>
      </c>
      <c r="BX13" s="317" t="s">
        <v>326</v>
      </c>
      <c r="BY13" s="331" t="s">
        <v>87</v>
      </c>
      <c r="BZ13" s="331" t="s">
        <v>256</v>
      </c>
      <c r="CA13" s="354">
        <v>253</v>
      </c>
      <c r="CB13" s="317" t="s">
        <v>421</v>
      </c>
      <c r="CC13" s="356">
        <v>60</v>
      </c>
      <c r="CD13" s="357">
        <v>80</v>
      </c>
    </row>
    <row r="14" spans="1:84" s="57" customFormat="1" x14ac:dyDescent="0.3">
      <c r="A14" s="830"/>
      <c r="B14" s="399">
        <v>313</v>
      </c>
      <c r="C14" s="92" t="s">
        <v>263</v>
      </c>
      <c r="D14" s="18">
        <v>100</v>
      </c>
      <c r="E14" s="18">
        <v>150</v>
      </c>
      <c r="F14" s="135">
        <v>282</v>
      </c>
      <c r="G14" s="10" t="s">
        <v>237</v>
      </c>
      <c r="H14" s="21">
        <v>50</v>
      </c>
      <c r="I14" s="21">
        <v>60</v>
      </c>
      <c r="J14" s="135">
        <v>205</v>
      </c>
      <c r="K14" s="10" t="s">
        <v>260</v>
      </c>
      <c r="L14" s="18">
        <v>100</v>
      </c>
      <c r="M14" s="18">
        <v>150</v>
      </c>
      <c r="N14" s="135">
        <v>382</v>
      </c>
      <c r="O14" s="10" t="s">
        <v>407</v>
      </c>
      <c r="P14" s="21">
        <v>150</v>
      </c>
      <c r="Q14" s="21">
        <v>180</v>
      </c>
      <c r="R14" s="135">
        <v>132</v>
      </c>
      <c r="S14" s="10" t="s">
        <v>218</v>
      </c>
      <c r="T14" s="21">
        <v>150</v>
      </c>
      <c r="U14" s="21">
        <v>180</v>
      </c>
      <c r="V14" s="135">
        <v>372</v>
      </c>
      <c r="W14" s="10" t="s">
        <v>467</v>
      </c>
      <c r="X14" s="18">
        <v>150</v>
      </c>
      <c r="Y14" s="18">
        <v>180</v>
      </c>
      <c r="Z14" s="135">
        <v>261</v>
      </c>
      <c r="AA14" s="10" t="s">
        <v>199</v>
      </c>
      <c r="AB14" s="19" t="s">
        <v>111</v>
      </c>
      <c r="AC14" s="19" t="s">
        <v>113</v>
      </c>
      <c r="AD14" s="135">
        <v>274</v>
      </c>
      <c r="AE14" s="10" t="s">
        <v>220</v>
      </c>
      <c r="AF14" s="21">
        <v>170</v>
      </c>
      <c r="AG14" s="21">
        <v>220</v>
      </c>
      <c r="AH14" s="135">
        <v>286</v>
      </c>
      <c r="AI14" s="10" t="s">
        <v>419</v>
      </c>
      <c r="AJ14" s="19" t="s">
        <v>87</v>
      </c>
      <c r="AK14" s="19" t="s">
        <v>256</v>
      </c>
      <c r="AL14" s="135">
        <v>321</v>
      </c>
      <c r="AM14" s="10" t="s">
        <v>98</v>
      </c>
      <c r="AN14" s="21">
        <v>120</v>
      </c>
      <c r="AO14" s="21">
        <v>150</v>
      </c>
      <c r="AP14" s="844"/>
      <c r="AQ14" s="354">
        <v>376</v>
      </c>
      <c r="AR14" s="317" t="s">
        <v>269</v>
      </c>
      <c r="AS14" s="318">
        <v>150</v>
      </c>
      <c r="AT14" s="318">
        <v>180</v>
      </c>
      <c r="AU14" s="354">
        <v>321</v>
      </c>
      <c r="AV14" s="317" t="s">
        <v>98</v>
      </c>
      <c r="AW14" s="319">
        <v>100</v>
      </c>
      <c r="AX14" s="319">
        <v>150</v>
      </c>
      <c r="AY14" s="354">
        <v>378</v>
      </c>
      <c r="AZ14" s="317" t="s">
        <v>246</v>
      </c>
      <c r="BA14" s="319">
        <v>150</v>
      </c>
      <c r="BB14" s="319">
        <v>180</v>
      </c>
      <c r="BC14" s="354">
        <v>342</v>
      </c>
      <c r="BD14" s="317" t="s">
        <v>320</v>
      </c>
      <c r="BE14" s="319">
        <v>150</v>
      </c>
      <c r="BF14" s="319">
        <v>180</v>
      </c>
      <c r="BG14" s="354">
        <v>321</v>
      </c>
      <c r="BH14" s="317" t="s">
        <v>98</v>
      </c>
      <c r="BI14" s="319">
        <v>110</v>
      </c>
      <c r="BJ14" s="319">
        <v>150</v>
      </c>
      <c r="BK14" s="354">
        <v>372</v>
      </c>
      <c r="BL14" s="317" t="s">
        <v>259</v>
      </c>
      <c r="BM14" s="319">
        <v>150</v>
      </c>
      <c r="BN14" s="319">
        <v>180</v>
      </c>
      <c r="BO14" s="354">
        <v>168</v>
      </c>
      <c r="BP14" s="317" t="s">
        <v>406</v>
      </c>
      <c r="BQ14" s="319">
        <v>110</v>
      </c>
      <c r="BR14" s="319">
        <v>150</v>
      </c>
      <c r="BS14" s="354">
        <v>125</v>
      </c>
      <c r="BT14" s="317" t="s">
        <v>413</v>
      </c>
      <c r="BU14" s="319">
        <v>150</v>
      </c>
      <c r="BV14" s="319">
        <v>150</v>
      </c>
      <c r="BW14" s="354">
        <v>336</v>
      </c>
      <c r="BX14" s="317" t="s">
        <v>218</v>
      </c>
      <c r="BY14" s="319">
        <v>150</v>
      </c>
      <c r="BZ14" s="319">
        <v>150</v>
      </c>
      <c r="CA14" s="354">
        <v>321</v>
      </c>
      <c r="CB14" s="317" t="s">
        <v>98</v>
      </c>
      <c r="CC14" s="356">
        <v>100</v>
      </c>
      <c r="CD14" s="357">
        <v>150</v>
      </c>
    </row>
    <row r="15" spans="1:84" s="57" customFormat="1" x14ac:dyDescent="0.3">
      <c r="A15" s="830"/>
      <c r="B15" s="399">
        <v>376</v>
      </c>
      <c r="C15" s="92" t="s">
        <v>280</v>
      </c>
      <c r="D15" s="18">
        <v>150</v>
      </c>
      <c r="E15" s="18">
        <v>180</v>
      </c>
      <c r="F15" s="135">
        <v>133</v>
      </c>
      <c r="G15" s="10" t="s">
        <v>440</v>
      </c>
      <c r="H15" s="21">
        <v>100</v>
      </c>
      <c r="I15" s="21">
        <v>150</v>
      </c>
      <c r="J15" s="135">
        <v>376</v>
      </c>
      <c r="K15" s="10" t="s">
        <v>253</v>
      </c>
      <c r="L15" s="21">
        <v>150</v>
      </c>
      <c r="M15" s="21">
        <v>180</v>
      </c>
      <c r="N15" s="135">
        <v>1</v>
      </c>
      <c r="O15" s="10" t="s">
        <v>155</v>
      </c>
      <c r="P15" s="119">
        <v>20</v>
      </c>
      <c r="Q15" s="119">
        <v>25</v>
      </c>
      <c r="R15" s="135">
        <v>398</v>
      </c>
      <c r="S15" s="10" t="s">
        <v>147</v>
      </c>
      <c r="T15" s="21">
        <v>150</v>
      </c>
      <c r="U15" s="21">
        <v>180</v>
      </c>
      <c r="V15" s="135">
        <v>1</v>
      </c>
      <c r="W15" s="10" t="s">
        <v>155</v>
      </c>
      <c r="X15" s="114">
        <v>20</v>
      </c>
      <c r="Y15" s="114">
        <v>25</v>
      </c>
      <c r="Z15" s="135">
        <v>372</v>
      </c>
      <c r="AA15" s="10" t="s">
        <v>259</v>
      </c>
      <c r="AB15" s="21">
        <v>150</v>
      </c>
      <c r="AC15" s="21">
        <v>180</v>
      </c>
      <c r="AD15" s="135">
        <v>378</v>
      </c>
      <c r="AE15" s="10" t="s">
        <v>226</v>
      </c>
      <c r="AF15" s="21">
        <v>180</v>
      </c>
      <c r="AG15" s="21">
        <v>200</v>
      </c>
      <c r="AH15" s="135">
        <v>398</v>
      </c>
      <c r="AI15" s="10" t="s">
        <v>147</v>
      </c>
      <c r="AJ15" s="21">
        <v>150</v>
      </c>
      <c r="AK15" s="21">
        <v>180</v>
      </c>
      <c r="AL15" s="135">
        <v>376</v>
      </c>
      <c r="AM15" s="10" t="s">
        <v>273</v>
      </c>
      <c r="AN15" s="21">
        <v>180</v>
      </c>
      <c r="AO15" s="21">
        <v>200</v>
      </c>
      <c r="AP15" s="844"/>
      <c r="AQ15" s="354">
        <v>1</v>
      </c>
      <c r="AR15" s="317" t="s">
        <v>155</v>
      </c>
      <c r="AS15" s="324">
        <v>20</v>
      </c>
      <c r="AT15" s="324">
        <v>25</v>
      </c>
      <c r="AU15" s="354">
        <v>372</v>
      </c>
      <c r="AV15" s="317" t="s">
        <v>259</v>
      </c>
      <c r="AW15" s="319">
        <v>150</v>
      </c>
      <c r="AX15" s="319">
        <v>180</v>
      </c>
      <c r="AY15" s="354">
        <v>1</v>
      </c>
      <c r="AZ15" s="317" t="s">
        <v>72</v>
      </c>
      <c r="BA15" s="318">
        <v>20</v>
      </c>
      <c r="BB15" s="318">
        <v>25</v>
      </c>
      <c r="BC15" s="354">
        <v>372</v>
      </c>
      <c r="BD15" s="317" t="s">
        <v>259</v>
      </c>
      <c r="BE15" s="319">
        <v>150</v>
      </c>
      <c r="BF15" s="319">
        <v>180</v>
      </c>
      <c r="BG15" s="397">
        <v>398</v>
      </c>
      <c r="BH15" s="317" t="s">
        <v>147</v>
      </c>
      <c r="BI15" s="319">
        <v>150</v>
      </c>
      <c r="BJ15" s="319">
        <v>180</v>
      </c>
      <c r="BK15" s="354">
        <v>1</v>
      </c>
      <c r="BL15" s="317" t="s">
        <v>155</v>
      </c>
      <c r="BM15" s="324">
        <v>20</v>
      </c>
      <c r="BN15" s="324">
        <v>25</v>
      </c>
      <c r="BO15" s="354">
        <v>382</v>
      </c>
      <c r="BP15" s="317" t="s">
        <v>407</v>
      </c>
      <c r="BQ15" s="319">
        <v>180</v>
      </c>
      <c r="BR15" s="319">
        <v>200</v>
      </c>
      <c r="BS15" s="354">
        <v>372</v>
      </c>
      <c r="BT15" s="317" t="s">
        <v>414</v>
      </c>
      <c r="BU15" s="319">
        <v>150</v>
      </c>
      <c r="BV15" s="319">
        <v>180</v>
      </c>
      <c r="BW15" s="354">
        <v>376</v>
      </c>
      <c r="BX15" s="317" t="s">
        <v>273</v>
      </c>
      <c r="BY15" s="356">
        <v>150</v>
      </c>
      <c r="BZ15" s="356">
        <v>180</v>
      </c>
      <c r="CA15" s="354">
        <v>372</v>
      </c>
      <c r="CB15" s="317" t="s">
        <v>259</v>
      </c>
      <c r="CC15" s="319">
        <v>150</v>
      </c>
      <c r="CD15" s="320">
        <v>180</v>
      </c>
    </row>
    <row r="16" spans="1:84" s="57" customFormat="1" x14ac:dyDescent="0.3">
      <c r="A16" s="830"/>
      <c r="B16" s="399">
        <v>1</v>
      </c>
      <c r="C16" s="92" t="s">
        <v>155</v>
      </c>
      <c r="D16" s="114">
        <v>20</v>
      </c>
      <c r="E16" s="114">
        <v>25</v>
      </c>
      <c r="F16" s="135">
        <v>376</v>
      </c>
      <c r="G16" s="10" t="s">
        <v>269</v>
      </c>
      <c r="H16" s="119">
        <v>150</v>
      </c>
      <c r="I16" s="119">
        <v>180</v>
      </c>
      <c r="J16" s="135">
        <v>1</v>
      </c>
      <c r="K16" s="10" t="s">
        <v>72</v>
      </c>
      <c r="L16" s="119">
        <v>20</v>
      </c>
      <c r="M16" s="119">
        <v>25</v>
      </c>
      <c r="N16" s="135">
        <v>1</v>
      </c>
      <c r="O16" s="10" t="s">
        <v>162</v>
      </c>
      <c r="P16" s="21">
        <v>17</v>
      </c>
      <c r="Q16" s="21">
        <v>21</v>
      </c>
      <c r="R16" s="135">
        <v>1</v>
      </c>
      <c r="S16" s="10" t="s">
        <v>155</v>
      </c>
      <c r="T16" s="119">
        <v>20</v>
      </c>
      <c r="U16" s="119">
        <v>25</v>
      </c>
      <c r="V16" s="135">
        <v>1</v>
      </c>
      <c r="W16" s="10" t="s">
        <v>162</v>
      </c>
      <c r="X16" s="18">
        <v>17</v>
      </c>
      <c r="Y16" s="18">
        <v>21</v>
      </c>
      <c r="Z16" s="135">
        <v>1</v>
      </c>
      <c r="AA16" s="10" t="s">
        <v>155</v>
      </c>
      <c r="AB16" s="119">
        <v>20</v>
      </c>
      <c r="AC16" s="119">
        <v>25</v>
      </c>
      <c r="AD16" s="135">
        <v>1</v>
      </c>
      <c r="AE16" s="10" t="s">
        <v>72</v>
      </c>
      <c r="AF16" s="119">
        <v>20</v>
      </c>
      <c r="AG16" s="119">
        <v>30</v>
      </c>
      <c r="AH16" s="135">
        <v>1</v>
      </c>
      <c r="AI16" s="10" t="s">
        <v>72</v>
      </c>
      <c r="AJ16" s="119">
        <v>20</v>
      </c>
      <c r="AK16" s="119">
        <v>30</v>
      </c>
      <c r="AL16" s="135">
        <v>1</v>
      </c>
      <c r="AM16" s="10" t="s">
        <v>72</v>
      </c>
      <c r="AN16" s="119">
        <v>20</v>
      </c>
      <c r="AO16" s="119">
        <v>30</v>
      </c>
      <c r="AP16" s="844"/>
      <c r="AQ16" s="354">
        <v>1</v>
      </c>
      <c r="AR16" s="317" t="s">
        <v>162</v>
      </c>
      <c r="AS16" s="323">
        <v>17</v>
      </c>
      <c r="AT16" s="323">
        <v>21</v>
      </c>
      <c r="AU16" s="354">
        <v>1</v>
      </c>
      <c r="AV16" s="317" t="s">
        <v>155</v>
      </c>
      <c r="AW16" s="318">
        <v>20</v>
      </c>
      <c r="AX16" s="318">
        <v>25</v>
      </c>
      <c r="AY16" s="354">
        <v>1</v>
      </c>
      <c r="AZ16" s="317" t="s">
        <v>17</v>
      </c>
      <c r="BA16" s="319">
        <v>17</v>
      </c>
      <c r="BB16" s="319">
        <v>21</v>
      </c>
      <c r="BC16" s="354">
        <v>1</v>
      </c>
      <c r="BD16" s="317" t="s">
        <v>155</v>
      </c>
      <c r="BE16" s="318">
        <v>20</v>
      </c>
      <c r="BF16" s="318">
        <v>25</v>
      </c>
      <c r="BG16" s="354">
        <v>1</v>
      </c>
      <c r="BH16" s="317" t="s">
        <v>155</v>
      </c>
      <c r="BI16" s="318">
        <v>20</v>
      </c>
      <c r="BJ16" s="318">
        <v>25</v>
      </c>
      <c r="BK16" s="354">
        <v>1</v>
      </c>
      <c r="BL16" s="317" t="s">
        <v>162</v>
      </c>
      <c r="BM16" s="323">
        <v>17</v>
      </c>
      <c r="BN16" s="323">
        <v>21</v>
      </c>
      <c r="BO16" s="354">
        <v>1</v>
      </c>
      <c r="BP16" s="317" t="s">
        <v>155</v>
      </c>
      <c r="BQ16" s="318">
        <v>20</v>
      </c>
      <c r="BR16" s="318">
        <v>25</v>
      </c>
      <c r="BS16" s="354">
        <v>1</v>
      </c>
      <c r="BT16" s="317" t="s">
        <v>72</v>
      </c>
      <c r="BU16" s="318">
        <v>20</v>
      </c>
      <c r="BV16" s="318">
        <v>25</v>
      </c>
      <c r="BW16" s="354">
        <v>1</v>
      </c>
      <c r="BX16" s="317" t="s">
        <v>72</v>
      </c>
      <c r="BY16" s="318">
        <v>20</v>
      </c>
      <c r="BZ16" s="318">
        <v>25</v>
      </c>
      <c r="CA16" s="354">
        <v>1</v>
      </c>
      <c r="CB16" s="317" t="s">
        <v>72</v>
      </c>
      <c r="CC16" s="358">
        <v>20</v>
      </c>
      <c r="CD16" s="359">
        <v>25</v>
      </c>
    </row>
    <row r="17" spans="1:82" s="57" customFormat="1" x14ac:dyDescent="0.3">
      <c r="A17" s="830"/>
      <c r="B17" s="399">
        <v>1</v>
      </c>
      <c r="C17" s="92" t="s">
        <v>162</v>
      </c>
      <c r="D17" s="18">
        <v>17</v>
      </c>
      <c r="E17" s="18">
        <v>21</v>
      </c>
      <c r="F17" s="135">
        <v>1</v>
      </c>
      <c r="G17" s="10" t="s">
        <v>155</v>
      </c>
      <c r="H17" s="119">
        <v>20</v>
      </c>
      <c r="I17" s="119">
        <v>25</v>
      </c>
      <c r="J17" s="135">
        <v>1</v>
      </c>
      <c r="K17" s="10" t="s">
        <v>17</v>
      </c>
      <c r="L17" s="21">
        <v>17</v>
      </c>
      <c r="M17" s="21">
        <v>21</v>
      </c>
      <c r="N17" s="135"/>
      <c r="O17" s="10"/>
      <c r="P17" s="21"/>
      <c r="Q17" s="21"/>
      <c r="R17" s="135">
        <v>1</v>
      </c>
      <c r="S17" s="10" t="s">
        <v>162</v>
      </c>
      <c r="T17" s="21">
        <v>17</v>
      </c>
      <c r="U17" s="21">
        <v>21</v>
      </c>
      <c r="V17" s="135"/>
      <c r="W17" s="10"/>
      <c r="X17" s="18"/>
      <c r="Y17" s="18"/>
      <c r="Z17" s="135">
        <v>1</v>
      </c>
      <c r="AA17" s="10" t="s">
        <v>162</v>
      </c>
      <c r="AB17" s="21">
        <v>17</v>
      </c>
      <c r="AC17" s="21">
        <v>21</v>
      </c>
      <c r="AD17" s="135">
        <v>1</v>
      </c>
      <c r="AE17" s="10" t="s">
        <v>162</v>
      </c>
      <c r="AF17" s="21">
        <v>17</v>
      </c>
      <c r="AG17" s="21">
        <v>21</v>
      </c>
      <c r="AH17" s="135">
        <v>1</v>
      </c>
      <c r="AI17" s="10" t="s">
        <v>162</v>
      </c>
      <c r="AJ17" s="21">
        <v>17</v>
      </c>
      <c r="AK17" s="21">
        <v>21</v>
      </c>
      <c r="AL17" s="135">
        <v>1</v>
      </c>
      <c r="AM17" s="10" t="s">
        <v>162</v>
      </c>
      <c r="AN17" s="21">
        <v>17</v>
      </c>
      <c r="AO17" s="21">
        <v>21</v>
      </c>
      <c r="AP17" s="844"/>
      <c r="AQ17" s="354"/>
      <c r="AR17" s="317"/>
      <c r="AS17" s="323"/>
      <c r="AT17" s="323"/>
      <c r="AU17" s="354">
        <v>1</v>
      </c>
      <c r="AV17" s="317" t="s">
        <v>162</v>
      </c>
      <c r="AW17" s="319">
        <v>17</v>
      </c>
      <c r="AX17" s="319">
        <v>21</v>
      </c>
      <c r="AY17" s="135"/>
      <c r="AZ17" s="10"/>
      <c r="BA17" s="21"/>
      <c r="BB17" s="21"/>
      <c r="BC17" s="354">
        <v>1</v>
      </c>
      <c r="BD17" s="317" t="s">
        <v>162</v>
      </c>
      <c r="BE17" s="319">
        <v>17</v>
      </c>
      <c r="BF17" s="319">
        <v>21</v>
      </c>
      <c r="BG17" s="354">
        <v>1</v>
      </c>
      <c r="BH17" s="317" t="s">
        <v>162</v>
      </c>
      <c r="BI17" s="319">
        <v>17</v>
      </c>
      <c r="BJ17" s="319">
        <v>21</v>
      </c>
      <c r="BK17" s="354"/>
      <c r="BL17" s="317"/>
      <c r="BM17" s="323"/>
      <c r="BN17" s="323"/>
      <c r="BO17" s="354">
        <v>1</v>
      </c>
      <c r="BP17" s="317" t="s">
        <v>162</v>
      </c>
      <c r="BQ17" s="319">
        <v>17</v>
      </c>
      <c r="BR17" s="319">
        <v>21</v>
      </c>
      <c r="BS17" s="354">
        <v>1</v>
      </c>
      <c r="BT17" s="317" t="s">
        <v>162</v>
      </c>
      <c r="BU17" s="319">
        <v>17</v>
      </c>
      <c r="BV17" s="319">
        <v>21</v>
      </c>
      <c r="BW17" s="354">
        <v>1</v>
      </c>
      <c r="BX17" s="317" t="s">
        <v>162</v>
      </c>
      <c r="BY17" s="318">
        <v>17</v>
      </c>
      <c r="BZ17" s="319">
        <v>21</v>
      </c>
      <c r="CA17" s="354">
        <v>1</v>
      </c>
      <c r="CB17" s="317" t="s">
        <v>162</v>
      </c>
      <c r="CC17" s="356">
        <v>17</v>
      </c>
      <c r="CD17" s="357">
        <v>21</v>
      </c>
    </row>
    <row r="18" spans="1:82" s="57" customFormat="1" ht="12.75" customHeight="1" thickBot="1" x14ac:dyDescent="0.35">
      <c r="A18" s="830"/>
      <c r="B18" s="400"/>
      <c r="C18" s="95"/>
      <c r="D18" s="133"/>
      <c r="E18" s="133"/>
      <c r="F18" s="403">
        <v>1</v>
      </c>
      <c r="G18" s="125" t="s">
        <v>162</v>
      </c>
      <c r="H18" s="126">
        <v>17</v>
      </c>
      <c r="I18" s="126">
        <v>21</v>
      </c>
      <c r="J18" s="403"/>
      <c r="K18" s="125"/>
      <c r="L18" s="126"/>
      <c r="M18" s="126"/>
      <c r="N18" s="403"/>
      <c r="O18" s="403"/>
      <c r="P18" s="125"/>
      <c r="Q18" s="126"/>
      <c r="R18" s="126"/>
      <c r="S18" s="125"/>
      <c r="T18" s="126"/>
      <c r="U18" s="126"/>
      <c r="V18" s="403">
        <v>269</v>
      </c>
      <c r="W18" s="125"/>
      <c r="X18" s="133"/>
      <c r="Y18" s="133"/>
      <c r="Z18" s="403"/>
      <c r="AA18" s="125"/>
      <c r="AB18" s="126"/>
      <c r="AC18" s="126"/>
      <c r="AD18" s="403"/>
      <c r="AE18" s="125"/>
      <c r="AF18" s="126"/>
      <c r="AG18" s="126"/>
      <c r="AH18" s="403"/>
      <c r="AI18" s="125"/>
      <c r="AJ18" s="126"/>
      <c r="AK18" s="126"/>
      <c r="AL18" s="403"/>
      <c r="AM18" s="125"/>
      <c r="AN18" s="126">
        <v>150</v>
      </c>
      <c r="AO18" s="126">
        <v>180</v>
      </c>
      <c r="AP18" s="848"/>
      <c r="AQ18" s="404"/>
      <c r="AR18" s="335"/>
      <c r="AS18" s="346"/>
      <c r="AT18" s="346"/>
      <c r="AU18" s="403"/>
      <c r="AV18" s="125"/>
      <c r="AW18" s="126"/>
      <c r="AX18" s="126"/>
      <c r="AY18" s="403"/>
      <c r="AZ18" s="125"/>
      <c r="BA18" s="126"/>
      <c r="BB18" s="126"/>
      <c r="BC18" s="403"/>
      <c r="BD18" s="125"/>
      <c r="BE18" s="129"/>
      <c r="BF18" s="129"/>
      <c r="BG18" s="126"/>
      <c r="BH18" s="125"/>
      <c r="BI18" s="126"/>
      <c r="BJ18" s="126"/>
      <c r="BK18" s="404">
        <v>305</v>
      </c>
      <c r="BL18" s="335"/>
      <c r="BM18" s="346"/>
      <c r="BN18" s="346"/>
      <c r="BO18" s="404"/>
      <c r="BP18" s="335"/>
      <c r="BQ18" s="336"/>
      <c r="BR18" s="336"/>
      <c r="BS18" s="404"/>
      <c r="BT18" s="335"/>
      <c r="BU18" s="336"/>
      <c r="BV18" s="336"/>
      <c r="BW18" s="404"/>
      <c r="BX18" s="335"/>
      <c r="BY18" s="405"/>
      <c r="BZ18" s="336"/>
      <c r="CA18" s="404"/>
      <c r="CB18" s="335"/>
      <c r="CC18" s="406"/>
      <c r="CD18" s="407"/>
    </row>
    <row r="19" spans="1:82" s="57" customFormat="1" ht="12.75" customHeight="1" x14ac:dyDescent="0.3">
      <c r="A19" s="851" t="s">
        <v>4</v>
      </c>
      <c r="B19" s="398">
        <v>302</v>
      </c>
      <c r="C19" s="27" t="s">
        <v>222</v>
      </c>
      <c r="D19" s="17">
        <v>90</v>
      </c>
      <c r="E19" s="17">
        <v>115</v>
      </c>
      <c r="F19" s="134">
        <v>320</v>
      </c>
      <c r="G19" s="16" t="s">
        <v>441</v>
      </c>
      <c r="H19" s="20">
        <v>100</v>
      </c>
      <c r="I19" s="20">
        <v>150</v>
      </c>
      <c r="J19" s="134">
        <v>291</v>
      </c>
      <c r="K19" s="16" t="s">
        <v>442</v>
      </c>
      <c r="L19" s="116" t="s">
        <v>149</v>
      </c>
      <c r="M19" s="116" t="s">
        <v>275</v>
      </c>
      <c r="N19" s="134">
        <v>231</v>
      </c>
      <c r="O19" s="16" t="s">
        <v>276</v>
      </c>
      <c r="P19" s="20">
        <v>50</v>
      </c>
      <c r="Q19" s="116">
        <v>100</v>
      </c>
      <c r="R19" s="134">
        <v>252</v>
      </c>
      <c r="S19" s="16" t="s">
        <v>443</v>
      </c>
      <c r="T19" s="20">
        <v>60</v>
      </c>
      <c r="U19" s="20">
        <v>80</v>
      </c>
      <c r="V19" s="134">
        <v>205</v>
      </c>
      <c r="W19" s="16" t="s">
        <v>468</v>
      </c>
      <c r="X19" s="17">
        <v>75</v>
      </c>
      <c r="Y19" s="17">
        <v>110</v>
      </c>
      <c r="Z19" s="134">
        <v>294</v>
      </c>
      <c r="AA19" s="16" t="s">
        <v>215</v>
      </c>
      <c r="AB19" s="116" t="s">
        <v>274</v>
      </c>
      <c r="AC19" s="116" t="s">
        <v>275</v>
      </c>
      <c r="AD19" s="134">
        <v>298</v>
      </c>
      <c r="AE19" s="16" t="s">
        <v>112</v>
      </c>
      <c r="AF19" s="20">
        <v>60</v>
      </c>
      <c r="AG19" s="20">
        <v>80</v>
      </c>
      <c r="AH19" s="134">
        <v>229</v>
      </c>
      <c r="AI19" s="16" t="s">
        <v>408</v>
      </c>
      <c r="AJ19" s="20">
        <v>65</v>
      </c>
      <c r="AK19" s="20">
        <v>105</v>
      </c>
      <c r="AL19" s="134">
        <v>342</v>
      </c>
      <c r="AM19" s="16" t="s">
        <v>469</v>
      </c>
      <c r="AN19" s="20">
        <v>60</v>
      </c>
      <c r="AO19" s="20">
        <v>60</v>
      </c>
      <c r="AP19" s="854" t="s">
        <v>4</v>
      </c>
      <c r="AQ19" s="402">
        <v>218</v>
      </c>
      <c r="AR19" s="314" t="s">
        <v>473</v>
      </c>
      <c r="AS19" s="345">
        <v>65</v>
      </c>
      <c r="AT19" s="345">
        <v>85</v>
      </c>
      <c r="AU19" s="402">
        <v>298</v>
      </c>
      <c r="AV19" s="314" t="s">
        <v>112</v>
      </c>
      <c r="AW19" s="315">
        <v>120</v>
      </c>
      <c r="AX19" s="315">
        <v>160</v>
      </c>
      <c r="AY19" s="402" t="s">
        <v>383</v>
      </c>
      <c r="AZ19" s="314" t="s">
        <v>384</v>
      </c>
      <c r="BA19" s="327" t="s">
        <v>385</v>
      </c>
      <c r="BB19" s="327" t="s">
        <v>385</v>
      </c>
      <c r="BC19" s="402">
        <v>236</v>
      </c>
      <c r="BD19" s="314" t="s">
        <v>334</v>
      </c>
      <c r="BE19" s="315">
        <v>90</v>
      </c>
      <c r="BF19" s="315">
        <v>100</v>
      </c>
      <c r="BG19" s="402">
        <v>302</v>
      </c>
      <c r="BH19" s="314" t="s">
        <v>394</v>
      </c>
      <c r="BI19" s="315">
        <v>180</v>
      </c>
      <c r="BJ19" s="315">
        <v>230</v>
      </c>
      <c r="BK19" s="402">
        <v>400</v>
      </c>
      <c r="BL19" s="314" t="s">
        <v>403</v>
      </c>
      <c r="BM19" s="345">
        <v>100</v>
      </c>
      <c r="BN19" s="345">
        <v>130</v>
      </c>
      <c r="BO19" s="402">
        <v>230</v>
      </c>
      <c r="BP19" s="314" t="s">
        <v>408</v>
      </c>
      <c r="BQ19" s="315">
        <v>105</v>
      </c>
      <c r="BR19" s="315">
        <v>105</v>
      </c>
      <c r="BS19" s="402">
        <v>292</v>
      </c>
      <c r="BT19" s="314" t="s">
        <v>415</v>
      </c>
      <c r="BU19" s="315">
        <v>120</v>
      </c>
      <c r="BV19" s="315">
        <v>160</v>
      </c>
      <c r="BW19" s="402">
        <v>291</v>
      </c>
      <c r="BX19" s="314" t="s">
        <v>316</v>
      </c>
      <c r="BY19" s="327" t="s">
        <v>149</v>
      </c>
      <c r="BZ19" s="327" t="s">
        <v>275</v>
      </c>
      <c r="CA19" s="408">
        <v>208</v>
      </c>
      <c r="CB19" s="361" t="s">
        <v>422</v>
      </c>
      <c r="CC19" s="315">
        <v>155</v>
      </c>
      <c r="CD19" s="316">
        <v>205</v>
      </c>
    </row>
    <row r="20" spans="1:82" s="57" customFormat="1" x14ac:dyDescent="0.3">
      <c r="A20" s="852"/>
      <c r="B20" s="399">
        <v>1</v>
      </c>
      <c r="C20" s="92" t="s">
        <v>162</v>
      </c>
      <c r="D20" s="18">
        <v>17</v>
      </c>
      <c r="E20" s="18">
        <v>21</v>
      </c>
      <c r="F20" s="135">
        <v>310</v>
      </c>
      <c r="G20" s="10" t="s">
        <v>444</v>
      </c>
      <c r="H20" s="21">
        <v>60</v>
      </c>
      <c r="I20" s="21">
        <v>80</v>
      </c>
      <c r="J20" s="135">
        <v>8</v>
      </c>
      <c r="K20" s="10" t="s">
        <v>157</v>
      </c>
      <c r="L20" s="127" t="s">
        <v>254</v>
      </c>
      <c r="M20" s="127" t="s">
        <v>206</v>
      </c>
      <c r="N20" s="135" t="s">
        <v>445</v>
      </c>
      <c r="O20" s="10" t="s">
        <v>446</v>
      </c>
      <c r="P20" s="21">
        <v>20</v>
      </c>
      <c r="Q20" s="21">
        <v>20</v>
      </c>
      <c r="R20" s="135">
        <v>315</v>
      </c>
      <c r="S20" s="10" t="s">
        <v>447</v>
      </c>
      <c r="T20" s="21">
        <v>100</v>
      </c>
      <c r="U20" s="21">
        <v>100</v>
      </c>
      <c r="V20" s="135">
        <v>392</v>
      </c>
      <c r="W20" s="10" t="s">
        <v>260</v>
      </c>
      <c r="X20" s="18">
        <v>155</v>
      </c>
      <c r="Y20" s="18">
        <v>155</v>
      </c>
      <c r="Z20" s="135">
        <v>1</v>
      </c>
      <c r="AA20" s="10" t="s">
        <v>162</v>
      </c>
      <c r="AB20" s="21">
        <v>17</v>
      </c>
      <c r="AC20" s="21">
        <v>21</v>
      </c>
      <c r="AD20" s="135"/>
      <c r="AE20" s="317" t="s">
        <v>168</v>
      </c>
      <c r="AF20" s="21">
        <v>20</v>
      </c>
      <c r="AG20" s="21">
        <v>40</v>
      </c>
      <c r="AH20" s="135">
        <v>401</v>
      </c>
      <c r="AI20" s="10" t="s">
        <v>156</v>
      </c>
      <c r="AJ20" s="127" t="s">
        <v>470</v>
      </c>
      <c r="AK20" s="127" t="s">
        <v>205</v>
      </c>
      <c r="AL20" s="135">
        <v>300</v>
      </c>
      <c r="AM20" s="10" t="s">
        <v>238</v>
      </c>
      <c r="AN20" s="21">
        <v>50</v>
      </c>
      <c r="AO20" s="21">
        <v>50</v>
      </c>
      <c r="AP20" s="855"/>
      <c r="AQ20" s="354">
        <v>1</v>
      </c>
      <c r="AR20" s="317" t="s">
        <v>162</v>
      </c>
      <c r="AS20" s="323">
        <v>17</v>
      </c>
      <c r="AT20" s="323">
        <v>21</v>
      </c>
      <c r="AU20" s="354">
        <v>1</v>
      </c>
      <c r="AV20" s="317" t="s">
        <v>162</v>
      </c>
      <c r="AW20" s="319">
        <v>17</v>
      </c>
      <c r="AX20" s="319">
        <v>21</v>
      </c>
      <c r="AY20" s="354">
        <v>321</v>
      </c>
      <c r="AZ20" s="317" t="s">
        <v>98</v>
      </c>
      <c r="BA20" s="319">
        <v>110</v>
      </c>
      <c r="BB20" s="319">
        <v>150</v>
      </c>
      <c r="BC20" s="135">
        <v>351</v>
      </c>
      <c r="BD20" s="10" t="s">
        <v>213</v>
      </c>
      <c r="BE20" s="21">
        <v>30</v>
      </c>
      <c r="BF20" s="21">
        <v>30</v>
      </c>
      <c r="BG20" s="354">
        <v>473</v>
      </c>
      <c r="BH20" s="317" t="s">
        <v>395</v>
      </c>
      <c r="BI20" s="319">
        <v>50</v>
      </c>
      <c r="BJ20" s="319">
        <v>50</v>
      </c>
      <c r="BK20" s="354">
        <v>1</v>
      </c>
      <c r="BL20" s="317" t="s">
        <v>390</v>
      </c>
      <c r="BM20" s="331">
        <v>200</v>
      </c>
      <c r="BN20" s="331">
        <v>200</v>
      </c>
      <c r="BO20" s="354">
        <v>1</v>
      </c>
      <c r="BP20" s="317" t="s">
        <v>162</v>
      </c>
      <c r="BQ20" s="319">
        <v>17</v>
      </c>
      <c r="BR20" s="319">
        <v>21</v>
      </c>
      <c r="BS20" s="354">
        <v>294</v>
      </c>
      <c r="BT20" s="317" t="s">
        <v>416</v>
      </c>
      <c r="BU20" s="331">
        <v>25</v>
      </c>
      <c r="BV20" s="331">
        <v>25</v>
      </c>
      <c r="BW20" s="354">
        <v>8</v>
      </c>
      <c r="BX20" s="317" t="s">
        <v>157</v>
      </c>
      <c r="BY20" s="337" t="s">
        <v>254</v>
      </c>
      <c r="BZ20" s="337" t="s">
        <v>206</v>
      </c>
      <c r="CA20" s="354">
        <v>400</v>
      </c>
      <c r="CB20" s="317" t="s">
        <v>390</v>
      </c>
      <c r="CC20" s="331">
        <v>200</v>
      </c>
      <c r="CD20" s="332">
        <v>200</v>
      </c>
    </row>
    <row r="21" spans="1:82" s="57" customFormat="1" x14ac:dyDescent="0.3">
      <c r="A21" s="852"/>
      <c r="B21" s="399">
        <v>400</v>
      </c>
      <c r="C21" s="92" t="s">
        <v>272</v>
      </c>
      <c r="D21" s="115">
        <v>150</v>
      </c>
      <c r="E21" s="115">
        <v>180</v>
      </c>
      <c r="F21" s="135">
        <v>401</v>
      </c>
      <c r="G21" s="10" t="s">
        <v>156</v>
      </c>
      <c r="H21" s="21">
        <v>150</v>
      </c>
      <c r="I21" s="21">
        <v>180</v>
      </c>
      <c r="J21" s="135">
        <v>400</v>
      </c>
      <c r="K21" s="10" t="s">
        <v>448</v>
      </c>
      <c r="L21" s="19" t="s">
        <v>369</v>
      </c>
      <c r="M21" s="19" t="s">
        <v>449</v>
      </c>
      <c r="N21" s="135">
        <v>401</v>
      </c>
      <c r="O21" s="10" t="s">
        <v>156</v>
      </c>
      <c r="P21" s="21">
        <v>180</v>
      </c>
      <c r="Q21" s="21">
        <v>200</v>
      </c>
      <c r="R21" s="135">
        <v>1</v>
      </c>
      <c r="S21" s="10" t="s">
        <v>162</v>
      </c>
      <c r="T21" s="21">
        <v>17</v>
      </c>
      <c r="U21" s="21">
        <v>21</v>
      </c>
      <c r="V21" s="135">
        <v>1</v>
      </c>
      <c r="W21" s="10" t="s">
        <v>471</v>
      </c>
      <c r="X21" s="18">
        <v>150</v>
      </c>
      <c r="Y21" s="18">
        <v>180</v>
      </c>
      <c r="Z21" s="135">
        <v>55</v>
      </c>
      <c r="AA21" s="10" t="s">
        <v>373</v>
      </c>
      <c r="AB21" s="18">
        <v>45</v>
      </c>
      <c r="AC21" s="18">
        <v>60</v>
      </c>
      <c r="AD21" s="135">
        <v>400</v>
      </c>
      <c r="AE21" s="10" t="s">
        <v>390</v>
      </c>
      <c r="AF21" s="21">
        <v>150</v>
      </c>
      <c r="AG21" s="21">
        <v>180</v>
      </c>
      <c r="AH21" s="135"/>
      <c r="AI21" s="10"/>
      <c r="AJ21" s="21">
        <v>20</v>
      </c>
      <c r="AK21" s="21">
        <v>50</v>
      </c>
      <c r="AL21" s="135">
        <v>467</v>
      </c>
      <c r="AM21" s="10" t="s">
        <v>282</v>
      </c>
      <c r="AN21" s="21">
        <v>150</v>
      </c>
      <c r="AO21" s="21">
        <v>180</v>
      </c>
      <c r="AP21" s="855"/>
      <c r="AQ21" s="354">
        <v>400</v>
      </c>
      <c r="AR21" s="317" t="s">
        <v>272</v>
      </c>
      <c r="AS21" s="325">
        <v>150</v>
      </c>
      <c r="AT21" s="325">
        <v>180</v>
      </c>
      <c r="AU21" s="397">
        <v>398</v>
      </c>
      <c r="AV21" s="317" t="s">
        <v>147</v>
      </c>
      <c r="AW21" s="319">
        <v>150</v>
      </c>
      <c r="AX21" s="319">
        <v>180</v>
      </c>
      <c r="AY21" s="135">
        <v>393</v>
      </c>
      <c r="AZ21" s="10" t="s">
        <v>288</v>
      </c>
      <c r="BA21" s="21">
        <v>150</v>
      </c>
      <c r="BB21" s="21">
        <v>180</v>
      </c>
      <c r="BC21" s="354">
        <v>401</v>
      </c>
      <c r="BD21" s="317" t="s">
        <v>156</v>
      </c>
      <c r="BE21" s="319">
        <v>200</v>
      </c>
      <c r="BF21" s="319">
        <v>200</v>
      </c>
      <c r="BG21" s="354">
        <v>401</v>
      </c>
      <c r="BH21" s="317" t="s">
        <v>156</v>
      </c>
      <c r="BI21" s="319">
        <v>200</v>
      </c>
      <c r="BJ21" s="319">
        <v>200</v>
      </c>
      <c r="BK21" s="354"/>
      <c r="BL21" s="317" t="s">
        <v>162</v>
      </c>
      <c r="BM21" s="323">
        <v>17</v>
      </c>
      <c r="BN21" s="323">
        <v>21</v>
      </c>
      <c r="BO21" s="354">
        <v>401</v>
      </c>
      <c r="BP21" s="317" t="s">
        <v>156</v>
      </c>
      <c r="BQ21" s="319">
        <v>200</v>
      </c>
      <c r="BR21" s="319">
        <v>200</v>
      </c>
      <c r="BS21" s="354">
        <v>399</v>
      </c>
      <c r="BT21" s="317" t="s">
        <v>84</v>
      </c>
      <c r="BU21" s="319">
        <v>200</v>
      </c>
      <c r="BV21" s="319">
        <v>200</v>
      </c>
      <c r="BW21" s="354">
        <v>393</v>
      </c>
      <c r="BX21" s="317" t="s">
        <v>288</v>
      </c>
      <c r="BY21" s="319">
        <v>150</v>
      </c>
      <c r="BZ21" s="319">
        <v>180</v>
      </c>
      <c r="CA21" s="354">
        <v>1</v>
      </c>
      <c r="CB21" s="317" t="s">
        <v>162</v>
      </c>
      <c r="CC21" s="318">
        <v>17</v>
      </c>
      <c r="CD21" s="320">
        <v>21</v>
      </c>
    </row>
    <row r="22" spans="1:82" s="57" customFormat="1" x14ac:dyDescent="0.3">
      <c r="A22" s="852"/>
      <c r="B22" s="399">
        <v>496</v>
      </c>
      <c r="C22" s="92" t="s">
        <v>450</v>
      </c>
      <c r="D22" s="18">
        <v>50</v>
      </c>
      <c r="E22" s="18">
        <v>50</v>
      </c>
      <c r="F22" s="135">
        <v>1</v>
      </c>
      <c r="G22" s="10" t="s">
        <v>162</v>
      </c>
      <c r="H22" s="21">
        <v>17</v>
      </c>
      <c r="I22" s="21">
        <v>21</v>
      </c>
      <c r="J22" s="135">
        <v>1</v>
      </c>
      <c r="K22" s="10" t="s">
        <v>155</v>
      </c>
      <c r="L22" s="21">
        <v>17</v>
      </c>
      <c r="M22" s="21">
        <v>21</v>
      </c>
      <c r="N22" s="135">
        <v>1</v>
      </c>
      <c r="O22" s="10" t="s">
        <v>162</v>
      </c>
      <c r="P22" s="21">
        <v>17</v>
      </c>
      <c r="Q22" s="21">
        <v>21</v>
      </c>
      <c r="R22" s="135">
        <v>392</v>
      </c>
      <c r="S22" s="10" t="s">
        <v>186</v>
      </c>
      <c r="T22" s="19" t="s">
        <v>451</v>
      </c>
      <c r="U22" s="19" t="s">
        <v>452</v>
      </c>
      <c r="V22" s="135">
        <v>491</v>
      </c>
      <c r="W22" s="10" t="s">
        <v>162</v>
      </c>
      <c r="X22" s="18">
        <v>17</v>
      </c>
      <c r="Y22" s="18">
        <v>21</v>
      </c>
      <c r="Z22" s="135"/>
      <c r="AA22" s="376"/>
      <c r="AB22" s="18">
        <v>25</v>
      </c>
      <c r="AC22" s="18">
        <v>25</v>
      </c>
      <c r="AD22" s="135">
        <v>1</v>
      </c>
      <c r="AE22" s="10" t="s">
        <v>162</v>
      </c>
      <c r="AF22" s="119">
        <v>17</v>
      </c>
      <c r="AG22" s="21">
        <v>21</v>
      </c>
      <c r="AH22" s="135">
        <v>1</v>
      </c>
      <c r="AI22" s="10" t="s">
        <v>162</v>
      </c>
      <c r="AJ22" s="119">
        <v>17</v>
      </c>
      <c r="AK22" s="21">
        <v>21</v>
      </c>
      <c r="AL22" s="135">
        <v>400</v>
      </c>
      <c r="AM22" s="10" t="s">
        <v>272</v>
      </c>
      <c r="AN22" s="119">
        <v>17</v>
      </c>
      <c r="AO22" s="21">
        <v>21</v>
      </c>
      <c r="AP22" s="855"/>
      <c r="AQ22" s="354"/>
      <c r="AR22" s="317"/>
      <c r="AS22" s="323"/>
      <c r="AT22" s="323"/>
      <c r="AU22" s="354">
        <v>467</v>
      </c>
      <c r="AV22" s="317" t="s">
        <v>381</v>
      </c>
      <c r="AW22" s="323">
        <v>50</v>
      </c>
      <c r="AX22" s="323">
        <v>50</v>
      </c>
      <c r="AY22" s="354">
        <v>1</v>
      </c>
      <c r="AZ22" s="317" t="s">
        <v>155</v>
      </c>
      <c r="BA22" s="319">
        <v>17</v>
      </c>
      <c r="BB22" s="319">
        <v>21</v>
      </c>
      <c r="BC22" s="354">
        <v>1</v>
      </c>
      <c r="BD22" s="317" t="s">
        <v>162</v>
      </c>
      <c r="BE22" s="319">
        <v>17</v>
      </c>
      <c r="BF22" s="319">
        <v>21</v>
      </c>
      <c r="BG22" s="135">
        <v>1</v>
      </c>
      <c r="BH22" s="10" t="s">
        <v>162</v>
      </c>
      <c r="BI22" s="21">
        <v>17</v>
      </c>
      <c r="BJ22" s="21">
        <v>21</v>
      </c>
      <c r="BK22" s="354"/>
      <c r="BL22" s="317"/>
      <c r="BM22" s="323"/>
      <c r="BN22" s="323"/>
      <c r="BO22" s="354"/>
      <c r="BP22" s="317"/>
      <c r="BQ22" s="323"/>
      <c r="BR22" s="323"/>
      <c r="BS22" s="354">
        <v>1</v>
      </c>
      <c r="BT22" s="317" t="s">
        <v>162</v>
      </c>
      <c r="BU22" s="318">
        <v>17</v>
      </c>
      <c r="BV22" s="319">
        <v>21</v>
      </c>
      <c r="BW22" s="354">
        <v>1</v>
      </c>
      <c r="BX22" s="317" t="s">
        <v>155</v>
      </c>
      <c r="BY22" s="319">
        <v>17</v>
      </c>
      <c r="BZ22" s="319">
        <v>21</v>
      </c>
      <c r="CA22" s="354">
        <v>467</v>
      </c>
      <c r="CB22" s="317" t="s">
        <v>423</v>
      </c>
      <c r="CC22" s="319">
        <v>25</v>
      </c>
      <c r="CD22" s="320">
        <v>40</v>
      </c>
    </row>
    <row r="23" spans="1:82" s="57" customFormat="1" ht="13.5" thickBot="1" x14ac:dyDescent="0.35">
      <c r="A23" s="853"/>
      <c r="B23" s="400"/>
      <c r="C23" s="28"/>
      <c r="D23" s="112"/>
      <c r="E23" s="112"/>
      <c r="F23" s="136"/>
      <c r="G23" s="12"/>
      <c r="H23" s="23"/>
      <c r="I23" s="23"/>
      <c r="J23" s="136"/>
      <c r="K23" s="321" t="s">
        <v>381</v>
      </c>
      <c r="L23" s="23"/>
      <c r="M23" s="23"/>
      <c r="N23" s="136"/>
      <c r="O23" s="12"/>
      <c r="P23" s="112"/>
      <c r="Q23" s="112"/>
      <c r="R23" s="136">
        <v>368</v>
      </c>
      <c r="S23" s="12" t="s">
        <v>115</v>
      </c>
      <c r="T23" s="23">
        <v>100</v>
      </c>
      <c r="U23" s="23">
        <v>100</v>
      </c>
      <c r="V23" s="409"/>
      <c r="W23" s="360" t="s">
        <v>472</v>
      </c>
      <c r="X23" s="112"/>
      <c r="Y23" s="112"/>
      <c r="Z23" s="136">
        <v>401</v>
      </c>
      <c r="AA23" s="12" t="s">
        <v>156</v>
      </c>
      <c r="AB23" s="23">
        <v>150</v>
      </c>
      <c r="AC23" s="23">
        <v>180</v>
      </c>
      <c r="AD23" s="136"/>
      <c r="AE23" s="12"/>
      <c r="AF23" s="289"/>
      <c r="AG23" s="289"/>
      <c r="AH23" s="136"/>
      <c r="AI23" s="12"/>
      <c r="AJ23" s="117"/>
      <c r="AK23" s="23"/>
      <c r="AL23" s="136">
        <v>1</v>
      </c>
      <c r="AM23" s="12" t="s">
        <v>162</v>
      </c>
      <c r="AN23" s="409"/>
      <c r="AO23" s="409"/>
      <c r="AP23" s="856"/>
      <c r="AQ23" s="136"/>
      <c r="AR23" s="12"/>
      <c r="AS23" s="112"/>
      <c r="AT23" s="112"/>
      <c r="AU23" s="389"/>
      <c r="AV23" s="321"/>
      <c r="AW23" s="333"/>
      <c r="AX23" s="333"/>
      <c r="AY23" s="136"/>
      <c r="AZ23" s="12"/>
      <c r="BA23" s="23"/>
      <c r="BB23" s="23"/>
      <c r="BC23" s="136"/>
      <c r="BD23" s="12"/>
      <c r="BE23" s="112"/>
      <c r="BF23" s="112"/>
      <c r="BG23" s="136"/>
      <c r="BH23" s="12"/>
      <c r="BI23" s="23"/>
      <c r="BJ23" s="23"/>
      <c r="BK23" s="136"/>
      <c r="BL23" s="321"/>
      <c r="BM23" s="322"/>
      <c r="BN23" s="322"/>
      <c r="BO23" s="389"/>
      <c r="BP23" s="321"/>
      <c r="BQ23" s="333"/>
      <c r="BR23" s="333"/>
      <c r="BS23" s="389"/>
      <c r="BT23" s="321"/>
      <c r="BU23" s="355"/>
      <c r="BV23" s="355"/>
      <c r="BW23" s="136"/>
      <c r="BX23" s="12"/>
      <c r="BY23" s="117"/>
      <c r="BZ23" s="23"/>
      <c r="CA23" s="389"/>
      <c r="CB23" s="321"/>
      <c r="CC23" s="362"/>
      <c r="CD23" s="334"/>
    </row>
  </sheetData>
  <mergeCells count="47">
    <mergeCell ref="A19:A23"/>
    <mergeCell ref="P4:Q4"/>
    <mergeCell ref="T4:U4"/>
    <mergeCell ref="AQ5:AR5"/>
    <mergeCell ref="AP19:AP23"/>
    <mergeCell ref="N5:O5"/>
    <mergeCell ref="R5:S5"/>
    <mergeCell ref="D4:E4"/>
    <mergeCell ref="AP11:AP18"/>
    <mergeCell ref="AU5:AV5"/>
    <mergeCell ref="AS4:AT4"/>
    <mergeCell ref="AY5:AZ5"/>
    <mergeCell ref="AD5:AE5"/>
    <mergeCell ref="AH5:AI5"/>
    <mergeCell ref="A1:U3"/>
    <mergeCell ref="BC5:BD5"/>
    <mergeCell ref="AP5:AP9"/>
    <mergeCell ref="BI4:BJ4"/>
    <mergeCell ref="BG5:BH5"/>
    <mergeCell ref="BE4:BF4"/>
    <mergeCell ref="A5:A9"/>
    <mergeCell ref="B5:C5"/>
    <mergeCell ref="F5:G5"/>
    <mergeCell ref="J5:K5"/>
    <mergeCell ref="AN4:AO4"/>
    <mergeCell ref="BA4:BB4"/>
    <mergeCell ref="AW4:AX4"/>
    <mergeCell ref="CC4:CD4"/>
    <mergeCell ref="BK5:BL5"/>
    <mergeCell ref="BO5:BP5"/>
    <mergeCell ref="BS5:BT5"/>
    <mergeCell ref="BW5:BX5"/>
    <mergeCell ref="BM4:BN4"/>
    <mergeCell ref="BQ4:BR4"/>
    <mergeCell ref="BU4:BV4"/>
    <mergeCell ref="BY4:BZ4"/>
    <mergeCell ref="CA5:CB5"/>
    <mergeCell ref="A11:A18"/>
    <mergeCell ref="H4:I4"/>
    <mergeCell ref="L4:M4"/>
    <mergeCell ref="AL5:AM5"/>
    <mergeCell ref="X4:Y4"/>
    <mergeCell ref="AB4:AC4"/>
    <mergeCell ref="V5:W5"/>
    <mergeCell ref="Z5:AA5"/>
    <mergeCell ref="AF4:AG4"/>
    <mergeCell ref="AJ4:AK4"/>
  </mergeCells>
  <phoneticPr fontId="2" type="noConversion"/>
  <pageMargins left="0.14000000000000001" right="0.21" top="0.24" bottom="0.3" header="0.53" footer="0.3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49"/>
  <sheetViews>
    <sheetView topLeftCell="A13" zoomScaleNormal="100" zoomScaleSheetLayoutView="100" workbookViewId="0">
      <selection activeCell="P45" sqref="P45"/>
    </sheetView>
  </sheetViews>
  <sheetFormatPr defaultRowHeight="13" x14ac:dyDescent="0.3"/>
  <cols>
    <col min="1" max="1" width="2.26953125" style="29" customWidth="1"/>
    <col min="2" max="2" width="3.26953125" style="35" customWidth="1"/>
    <col min="3" max="3" width="18.7265625" style="29" customWidth="1"/>
    <col min="4" max="4" width="5.7265625" style="36" customWidth="1"/>
    <col min="5" max="5" width="4.1796875" style="37" customWidth="1"/>
    <col min="6" max="6" width="3.26953125" style="5" customWidth="1"/>
    <col min="7" max="7" width="18.7265625" style="40" customWidth="1"/>
    <col min="8" max="9" width="4.7265625" style="37" customWidth="1"/>
    <col min="10" max="10" width="4.54296875" style="41" customWidth="1"/>
    <col min="11" max="11" width="18.7265625" style="38" customWidth="1"/>
    <col min="12" max="12" width="4.26953125" style="37" customWidth="1"/>
    <col min="13" max="13" width="4.81640625" style="36" customWidth="1"/>
    <col min="14" max="14" width="3.81640625" style="39" customWidth="1"/>
    <col min="15" max="15" width="17.7265625" style="29" customWidth="1"/>
    <col min="16" max="16" width="5.54296875" style="36" customWidth="1"/>
    <col min="17" max="17" width="5.1796875" style="37" customWidth="1"/>
    <col min="18" max="18" width="3.26953125" style="5" customWidth="1"/>
    <col min="19" max="19" width="17.7265625" style="29" customWidth="1"/>
    <col min="20" max="20" width="3.81640625" style="37" customWidth="1"/>
    <col min="21" max="21" width="4" style="37" customWidth="1"/>
  </cols>
  <sheetData>
    <row r="1" spans="1:21" ht="12.75" customHeight="1" x14ac:dyDescent="0.25">
      <c r="A1" s="841" t="s">
        <v>305</v>
      </c>
      <c r="B1" s="841"/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</row>
    <row r="2" spans="1:21" ht="12.75" customHeight="1" x14ac:dyDescent="0.25">
      <c r="A2" s="841"/>
      <c r="B2" s="841"/>
      <c r="C2" s="841"/>
      <c r="D2" s="841"/>
      <c r="E2" s="841"/>
      <c r="F2" s="841"/>
      <c r="G2" s="841"/>
      <c r="H2" s="841"/>
      <c r="I2" s="841"/>
      <c r="J2" s="841"/>
      <c r="K2" s="841"/>
      <c r="L2" s="841"/>
      <c r="M2" s="841"/>
      <c r="N2" s="841"/>
      <c r="O2" s="841"/>
      <c r="P2" s="841"/>
      <c r="Q2" s="841"/>
      <c r="R2" s="841"/>
      <c r="S2" s="841"/>
      <c r="T2" s="841"/>
      <c r="U2" s="841"/>
    </row>
    <row r="3" spans="1:21" ht="13.5" customHeight="1" thickBot="1" x14ac:dyDescent="0.3">
      <c r="A3" s="842"/>
      <c r="B3" s="842"/>
      <c r="C3" s="842"/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842"/>
      <c r="P3" s="842"/>
      <c r="Q3" s="842"/>
      <c r="R3" s="842"/>
      <c r="S3" s="842"/>
      <c r="T3" s="842"/>
      <c r="U3" s="842"/>
    </row>
    <row r="4" spans="1:21" ht="14.5" thickBot="1" x14ac:dyDescent="0.35">
      <c r="A4" s="215"/>
      <c r="B4" s="206" t="s">
        <v>189</v>
      </c>
      <c r="C4" s="207" t="s">
        <v>116</v>
      </c>
      <c r="D4" s="849" t="s">
        <v>76</v>
      </c>
      <c r="E4" s="850"/>
      <c r="F4" s="208" t="s">
        <v>189</v>
      </c>
      <c r="G4" s="209" t="s">
        <v>116</v>
      </c>
      <c r="H4" s="836" t="s">
        <v>76</v>
      </c>
      <c r="I4" s="837"/>
      <c r="J4" s="210" t="s">
        <v>189</v>
      </c>
      <c r="K4" s="209" t="s">
        <v>116</v>
      </c>
      <c r="L4" s="836" t="s">
        <v>76</v>
      </c>
      <c r="M4" s="837"/>
      <c r="N4" s="211" t="s">
        <v>189</v>
      </c>
      <c r="O4" s="209" t="s">
        <v>116</v>
      </c>
      <c r="P4" s="836" t="s">
        <v>76</v>
      </c>
      <c r="Q4" s="837"/>
      <c r="R4" s="210" t="s">
        <v>189</v>
      </c>
      <c r="S4" s="209" t="s">
        <v>116</v>
      </c>
      <c r="T4" s="836" t="s">
        <v>76</v>
      </c>
      <c r="U4" s="837"/>
    </row>
    <row r="5" spans="1:21" ht="15.75" customHeight="1" thickBot="1" x14ac:dyDescent="0.35">
      <c r="A5" s="863" t="s">
        <v>1</v>
      </c>
      <c r="B5" s="859" t="s">
        <v>608</v>
      </c>
      <c r="C5" s="860"/>
      <c r="D5" s="212" t="s">
        <v>203</v>
      </c>
      <c r="E5" s="213" t="s">
        <v>204</v>
      </c>
      <c r="F5" s="859" t="s">
        <v>610</v>
      </c>
      <c r="G5" s="860"/>
      <c r="H5" s="212" t="s">
        <v>203</v>
      </c>
      <c r="I5" s="213" t="s">
        <v>204</v>
      </c>
      <c r="J5" s="859" t="s">
        <v>611</v>
      </c>
      <c r="K5" s="860"/>
      <c r="L5" s="212" t="s">
        <v>203</v>
      </c>
      <c r="M5" s="213" t="s">
        <v>204</v>
      </c>
      <c r="N5" s="859" t="s">
        <v>612</v>
      </c>
      <c r="O5" s="860"/>
      <c r="P5" s="212" t="s">
        <v>203</v>
      </c>
      <c r="Q5" s="213" t="s">
        <v>204</v>
      </c>
      <c r="R5" s="859" t="s">
        <v>613</v>
      </c>
      <c r="S5" s="860"/>
      <c r="T5" s="212" t="s">
        <v>203</v>
      </c>
      <c r="U5" s="214" t="s">
        <v>204</v>
      </c>
    </row>
    <row r="6" spans="1:21" s="57" customFormat="1" x14ac:dyDescent="0.3">
      <c r="A6" s="864"/>
      <c r="B6" s="509">
        <v>168</v>
      </c>
      <c r="C6" s="16" t="s">
        <v>375</v>
      </c>
      <c r="D6" s="20">
        <v>130</v>
      </c>
      <c r="E6" s="510">
        <v>150</v>
      </c>
      <c r="F6" s="509">
        <v>235</v>
      </c>
      <c r="G6" s="16" t="s">
        <v>219</v>
      </c>
      <c r="H6" s="20">
        <v>90</v>
      </c>
      <c r="I6" s="510">
        <v>100</v>
      </c>
      <c r="J6" s="509">
        <v>185</v>
      </c>
      <c r="K6" s="16" t="s">
        <v>97</v>
      </c>
      <c r="L6" s="116">
        <v>130</v>
      </c>
      <c r="M6" s="511">
        <v>150</v>
      </c>
      <c r="N6" s="509">
        <v>168</v>
      </c>
      <c r="O6" s="16" t="s">
        <v>325</v>
      </c>
      <c r="P6" s="116">
        <v>130</v>
      </c>
      <c r="Q6" s="512">
        <v>150</v>
      </c>
      <c r="R6" s="509">
        <v>228</v>
      </c>
      <c r="S6" s="16" t="s">
        <v>389</v>
      </c>
      <c r="T6" s="116">
        <v>100</v>
      </c>
      <c r="U6" s="512">
        <v>100</v>
      </c>
    </row>
    <row r="7" spans="1:21" s="57" customFormat="1" x14ac:dyDescent="0.3">
      <c r="A7" s="864"/>
      <c r="B7" s="11">
        <v>1</v>
      </c>
      <c r="C7" s="10" t="s">
        <v>283</v>
      </c>
      <c r="D7" s="119">
        <v>24</v>
      </c>
      <c r="E7" s="513">
        <v>30</v>
      </c>
      <c r="F7" s="514">
        <v>359</v>
      </c>
      <c r="G7" s="10" t="s">
        <v>485</v>
      </c>
      <c r="H7" s="21">
        <v>30</v>
      </c>
      <c r="I7" s="515">
        <v>30</v>
      </c>
      <c r="J7" s="711" t="s">
        <v>614</v>
      </c>
      <c r="K7" s="10" t="s">
        <v>378</v>
      </c>
      <c r="L7" s="376" t="s">
        <v>354</v>
      </c>
      <c r="M7" s="516" t="s">
        <v>379</v>
      </c>
      <c r="N7" s="11">
        <v>3</v>
      </c>
      <c r="O7" s="10" t="s">
        <v>565</v>
      </c>
      <c r="P7" s="376" t="s">
        <v>566</v>
      </c>
      <c r="Q7" s="517" t="s">
        <v>567</v>
      </c>
      <c r="R7" s="11">
        <v>1</v>
      </c>
      <c r="S7" s="10" t="s">
        <v>283</v>
      </c>
      <c r="T7" s="376" t="s">
        <v>566</v>
      </c>
      <c r="U7" s="517" t="s">
        <v>567</v>
      </c>
    </row>
    <row r="8" spans="1:21" s="57" customFormat="1" x14ac:dyDescent="0.3">
      <c r="A8" s="864"/>
      <c r="B8" s="11">
        <v>6</v>
      </c>
      <c r="C8" s="10" t="s">
        <v>28</v>
      </c>
      <c r="D8" s="21">
        <v>5</v>
      </c>
      <c r="E8" s="518">
        <v>5</v>
      </c>
      <c r="F8" s="514">
        <v>392</v>
      </c>
      <c r="G8" s="10" t="s">
        <v>258</v>
      </c>
      <c r="H8" s="21">
        <v>150</v>
      </c>
      <c r="I8" s="515">
        <v>180</v>
      </c>
      <c r="J8" s="11">
        <v>397</v>
      </c>
      <c r="K8" s="10" t="s">
        <v>53</v>
      </c>
      <c r="L8" s="19">
        <v>150</v>
      </c>
      <c r="M8" s="519">
        <v>180</v>
      </c>
      <c r="N8" s="514">
        <v>392</v>
      </c>
      <c r="O8" s="10" t="s">
        <v>50</v>
      </c>
      <c r="P8" s="21">
        <v>150</v>
      </c>
      <c r="Q8" s="515">
        <v>180</v>
      </c>
      <c r="R8" s="11">
        <v>400</v>
      </c>
      <c r="S8" s="10" t="s">
        <v>390</v>
      </c>
      <c r="T8" s="19">
        <v>150</v>
      </c>
      <c r="U8" s="519">
        <v>180</v>
      </c>
    </row>
    <row r="9" spans="1:21" s="57" customFormat="1" ht="13.5" thickBot="1" x14ac:dyDescent="0.35">
      <c r="A9" s="865"/>
      <c r="B9" s="13">
        <v>395</v>
      </c>
      <c r="C9" s="12" t="s">
        <v>71</v>
      </c>
      <c r="D9" s="23">
        <v>150</v>
      </c>
      <c r="E9" s="526">
        <v>180</v>
      </c>
      <c r="F9" s="521">
        <v>1</v>
      </c>
      <c r="G9" s="12" t="s">
        <v>283</v>
      </c>
      <c r="H9" s="117">
        <v>24</v>
      </c>
      <c r="I9" s="522">
        <v>30</v>
      </c>
      <c r="J9" s="13"/>
      <c r="K9" s="12"/>
      <c r="L9" s="124"/>
      <c r="M9" s="523"/>
      <c r="N9" s="524"/>
      <c r="O9" s="125"/>
      <c r="P9" s="133"/>
      <c r="Q9" s="525"/>
      <c r="R9" s="13"/>
      <c r="S9" s="12"/>
      <c r="T9" s="23"/>
      <c r="U9" s="526"/>
    </row>
    <row r="10" spans="1:21" s="57" customFormat="1" ht="13.5" thickBot="1" x14ac:dyDescent="0.35">
      <c r="A10" s="216" t="s">
        <v>83</v>
      </c>
      <c r="B10" s="527">
        <v>399</v>
      </c>
      <c r="C10" s="185" t="s">
        <v>84</v>
      </c>
      <c r="D10" s="229">
        <v>200</v>
      </c>
      <c r="E10" s="229">
        <v>180</v>
      </c>
      <c r="F10" s="528">
        <v>401</v>
      </c>
      <c r="G10" s="48" t="s">
        <v>156</v>
      </c>
      <c r="H10" s="229">
        <v>150</v>
      </c>
      <c r="I10" s="229">
        <v>180</v>
      </c>
      <c r="J10" s="47">
        <v>399</v>
      </c>
      <c r="K10" s="48" t="s">
        <v>84</v>
      </c>
      <c r="L10" s="229">
        <v>200</v>
      </c>
      <c r="M10" s="529">
        <v>180</v>
      </c>
      <c r="N10" s="47">
        <v>368</v>
      </c>
      <c r="O10" s="48" t="s">
        <v>115</v>
      </c>
      <c r="P10" s="229">
        <v>95</v>
      </c>
      <c r="Q10" s="50">
        <v>100</v>
      </c>
      <c r="R10" s="530">
        <v>399</v>
      </c>
      <c r="S10" s="185" t="s">
        <v>84</v>
      </c>
      <c r="T10" s="229">
        <v>200</v>
      </c>
      <c r="U10" s="50">
        <v>180</v>
      </c>
    </row>
    <row r="11" spans="1:21" s="57" customFormat="1" ht="12.75" customHeight="1" x14ac:dyDescent="0.3">
      <c r="A11" s="863" t="s">
        <v>3</v>
      </c>
      <c r="B11" s="15">
        <v>53</v>
      </c>
      <c r="C11" s="150" t="s">
        <v>257</v>
      </c>
      <c r="D11" s="120">
        <v>30</v>
      </c>
      <c r="E11" s="531">
        <v>50</v>
      </c>
      <c r="F11" s="532">
        <v>14</v>
      </c>
      <c r="G11" s="150" t="s">
        <v>312</v>
      </c>
      <c r="H11" s="120">
        <v>30</v>
      </c>
      <c r="I11" s="531">
        <v>50</v>
      </c>
      <c r="J11" s="15">
        <v>22</v>
      </c>
      <c r="K11" s="150" t="s">
        <v>382</v>
      </c>
      <c r="L11" s="120">
        <v>30</v>
      </c>
      <c r="M11" s="531">
        <v>50</v>
      </c>
      <c r="N11" s="532">
        <v>54</v>
      </c>
      <c r="O11" s="150" t="s">
        <v>296</v>
      </c>
      <c r="P11" s="120">
        <v>30</v>
      </c>
      <c r="Q11" s="531">
        <v>50</v>
      </c>
      <c r="R11" s="15">
        <v>13</v>
      </c>
      <c r="S11" s="150" t="s">
        <v>129</v>
      </c>
      <c r="T11" s="533">
        <v>30</v>
      </c>
      <c r="U11" s="534">
        <v>50</v>
      </c>
    </row>
    <row r="12" spans="1:21" s="3" customFormat="1" ht="39" customHeight="1" x14ac:dyDescent="0.3">
      <c r="A12" s="864"/>
      <c r="B12" s="11">
        <v>85</v>
      </c>
      <c r="C12" s="571" t="s">
        <v>376</v>
      </c>
      <c r="D12" s="21">
        <v>150</v>
      </c>
      <c r="E12" s="518">
        <v>180</v>
      </c>
      <c r="F12" s="514">
        <v>78</v>
      </c>
      <c r="G12" s="10" t="s">
        <v>377</v>
      </c>
      <c r="H12" s="21">
        <v>150</v>
      </c>
      <c r="I12" s="518">
        <v>180</v>
      </c>
      <c r="J12" s="514">
        <v>58</v>
      </c>
      <c r="K12" s="10" t="s">
        <v>250</v>
      </c>
      <c r="L12" s="21">
        <v>150</v>
      </c>
      <c r="M12" s="515">
        <v>180</v>
      </c>
      <c r="N12" s="11">
        <v>83</v>
      </c>
      <c r="O12" s="571" t="s">
        <v>387</v>
      </c>
      <c r="P12" s="18">
        <v>150</v>
      </c>
      <c r="Q12" s="535">
        <v>180</v>
      </c>
      <c r="R12" s="139">
        <v>67</v>
      </c>
      <c r="S12" s="10" t="s">
        <v>327</v>
      </c>
      <c r="T12" s="19">
        <v>150</v>
      </c>
      <c r="U12" s="519">
        <v>180</v>
      </c>
    </row>
    <row r="13" spans="1:21" s="57" customFormat="1" x14ac:dyDescent="0.3">
      <c r="A13" s="864"/>
      <c r="B13" s="536" t="s">
        <v>350</v>
      </c>
      <c r="C13" s="10" t="s">
        <v>322</v>
      </c>
      <c r="D13" s="21">
        <v>160</v>
      </c>
      <c r="E13" s="518">
        <v>160</v>
      </c>
      <c r="F13" s="514">
        <v>261</v>
      </c>
      <c r="G13" s="10" t="s">
        <v>199</v>
      </c>
      <c r="H13" s="19" t="s">
        <v>111</v>
      </c>
      <c r="I13" s="519" t="s">
        <v>113</v>
      </c>
      <c r="J13" s="537" t="s">
        <v>314</v>
      </c>
      <c r="K13" s="10" t="s">
        <v>315</v>
      </c>
      <c r="L13" s="21">
        <v>160</v>
      </c>
      <c r="M13" s="515">
        <v>180</v>
      </c>
      <c r="N13" s="11">
        <v>306</v>
      </c>
      <c r="O13" s="10" t="s">
        <v>388</v>
      </c>
      <c r="P13" s="21">
        <v>60</v>
      </c>
      <c r="Q13" s="518">
        <v>80</v>
      </c>
      <c r="R13" s="536">
        <v>256</v>
      </c>
      <c r="S13" s="10" t="s">
        <v>391</v>
      </c>
      <c r="T13" s="21" t="s">
        <v>392</v>
      </c>
      <c r="U13" s="518" t="s">
        <v>393</v>
      </c>
    </row>
    <row r="14" spans="1:21" s="57" customFormat="1" x14ac:dyDescent="0.3">
      <c r="A14" s="864"/>
      <c r="B14" s="11">
        <v>376</v>
      </c>
      <c r="C14" s="10" t="s">
        <v>269</v>
      </c>
      <c r="D14" s="119">
        <v>150</v>
      </c>
      <c r="E14" s="513">
        <v>180</v>
      </c>
      <c r="F14" s="514">
        <v>321</v>
      </c>
      <c r="G14" s="10" t="s">
        <v>98</v>
      </c>
      <c r="H14" s="21">
        <v>110</v>
      </c>
      <c r="I14" s="518">
        <v>130</v>
      </c>
      <c r="J14" s="11">
        <v>378</v>
      </c>
      <c r="K14" s="10" t="s">
        <v>246</v>
      </c>
      <c r="L14" s="21">
        <v>150</v>
      </c>
      <c r="M14" s="518">
        <v>180</v>
      </c>
      <c r="N14" s="11">
        <v>342</v>
      </c>
      <c r="O14" s="10" t="s">
        <v>320</v>
      </c>
      <c r="P14" s="21">
        <v>100</v>
      </c>
      <c r="Q14" s="518">
        <v>130</v>
      </c>
      <c r="R14" s="11">
        <v>321</v>
      </c>
      <c r="S14" s="10" t="s">
        <v>98</v>
      </c>
      <c r="T14" s="21">
        <v>110</v>
      </c>
      <c r="U14" s="518">
        <v>130</v>
      </c>
    </row>
    <row r="15" spans="1:21" s="57" customFormat="1" x14ac:dyDescent="0.3">
      <c r="A15" s="864"/>
      <c r="B15" s="11">
        <v>1</v>
      </c>
      <c r="C15" s="10" t="s">
        <v>155</v>
      </c>
      <c r="D15" s="119">
        <v>20</v>
      </c>
      <c r="E15" s="513">
        <v>25</v>
      </c>
      <c r="F15" s="514">
        <v>372</v>
      </c>
      <c r="G15" s="10" t="s">
        <v>259</v>
      </c>
      <c r="H15" s="21">
        <v>150</v>
      </c>
      <c r="I15" s="518">
        <v>180</v>
      </c>
      <c r="J15" s="514">
        <v>1</v>
      </c>
      <c r="K15" s="10" t="s">
        <v>72</v>
      </c>
      <c r="L15" s="119">
        <v>20</v>
      </c>
      <c r="M15" s="539">
        <v>25</v>
      </c>
      <c r="N15" s="11">
        <v>372</v>
      </c>
      <c r="O15" s="10" t="s">
        <v>259</v>
      </c>
      <c r="P15" s="21">
        <v>150</v>
      </c>
      <c r="Q15" s="518">
        <v>180</v>
      </c>
      <c r="R15" s="540">
        <v>398</v>
      </c>
      <c r="S15" s="541" t="s">
        <v>147</v>
      </c>
      <c r="T15" s="21">
        <v>150</v>
      </c>
      <c r="U15" s="518">
        <v>180</v>
      </c>
    </row>
    <row r="16" spans="1:21" s="57" customFormat="1" x14ac:dyDescent="0.3">
      <c r="A16" s="864"/>
      <c r="B16" s="11">
        <v>1</v>
      </c>
      <c r="C16" s="10" t="s">
        <v>162</v>
      </c>
      <c r="D16" s="21">
        <v>17</v>
      </c>
      <c r="E16" s="518">
        <v>21</v>
      </c>
      <c r="F16" s="514">
        <v>1</v>
      </c>
      <c r="G16" s="10" t="s">
        <v>155</v>
      </c>
      <c r="H16" s="119">
        <v>20</v>
      </c>
      <c r="I16" s="513">
        <v>25</v>
      </c>
      <c r="J16" s="542">
        <v>1</v>
      </c>
      <c r="K16" s="125" t="s">
        <v>17</v>
      </c>
      <c r="L16" s="126">
        <v>17</v>
      </c>
      <c r="M16" s="543">
        <v>21</v>
      </c>
      <c r="N16" s="11">
        <v>1</v>
      </c>
      <c r="O16" s="10" t="s">
        <v>155</v>
      </c>
      <c r="P16" s="119">
        <v>20</v>
      </c>
      <c r="Q16" s="513">
        <v>25</v>
      </c>
      <c r="R16" s="11">
        <v>1</v>
      </c>
      <c r="S16" s="10" t="s">
        <v>155</v>
      </c>
      <c r="T16" s="119">
        <v>20</v>
      </c>
      <c r="U16" s="513">
        <v>25</v>
      </c>
    </row>
    <row r="17" spans="1:21" s="57" customFormat="1" ht="13.5" thickBot="1" x14ac:dyDescent="0.35">
      <c r="A17" s="864"/>
      <c r="B17" s="11"/>
      <c r="C17" s="10"/>
      <c r="D17" s="21"/>
      <c r="E17" s="518"/>
      <c r="F17" s="514">
        <v>1</v>
      </c>
      <c r="G17" s="10" t="s">
        <v>162</v>
      </c>
      <c r="H17" s="21">
        <v>17</v>
      </c>
      <c r="I17" s="518">
        <v>21</v>
      </c>
      <c r="J17" s="542"/>
      <c r="K17" s="125"/>
      <c r="L17" s="126"/>
      <c r="M17" s="543"/>
      <c r="N17" s="11">
        <v>1</v>
      </c>
      <c r="O17" s="10" t="s">
        <v>162</v>
      </c>
      <c r="P17" s="21">
        <v>17</v>
      </c>
      <c r="Q17" s="518">
        <v>21</v>
      </c>
      <c r="R17" s="11">
        <v>1</v>
      </c>
      <c r="S17" s="10" t="s">
        <v>162</v>
      </c>
      <c r="T17" s="21">
        <v>17</v>
      </c>
      <c r="U17" s="518">
        <v>21</v>
      </c>
    </row>
    <row r="18" spans="1:21" s="57" customFormat="1" ht="0.65" customHeight="1" thickBot="1" x14ac:dyDescent="0.35">
      <c r="A18" s="864"/>
      <c r="B18" s="13"/>
      <c r="C18" s="12"/>
      <c r="D18" s="23"/>
      <c r="E18" s="526"/>
      <c r="F18" s="542"/>
      <c r="G18" s="125"/>
      <c r="H18" s="126"/>
      <c r="I18" s="546"/>
      <c r="J18" s="542"/>
      <c r="K18" s="125"/>
      <c r="L18" s="126"/>
      <c r="M18" s="543"/>
      <c r="N18" s="524"/>
      <c r="O18" s="125"/>
      <c r="P18" s="129"/>
      <c r="Q18" s="544"/>
      <c r="R18" s="545"/>
      <c r="S18" s="125"/>
      <c r="T18" s="126"/>
      <c r="U18" s="546"/>
    </row>
    <row r="19" spans="1:21" s="725" customFormat="1" ht="28.9" customHeight="1" x14ac:dyDescent="0.3">
      <c r="A19" s="712" t="s">
        <v>4</v>
      </c>
      <c r="B19" s="713">
        <v>218</v>
      </c>
      <c r="C19" s="714" t="s">
        <v>473</v>
      </c>
      <c r="D19" s="715">
        <v>65</v>
      </c>
      <c r="E19" s="716">
        <v>85</v>
      </c>
      <c r="F19" s="717">
        <v>298</v>
      </c>
      <c r="G19" s="718" t="s">
        <v>112</v>
      </c>
      <c r="H19" s="719" t="s">
        <v>111</v>
      </c>
      <c r="I19" s="720" t="s">
        <v>113</v>
      </c>
      <c r="J19" s="721">
        <v>278</v>
      </c>
      <c r="K19" s="718" t="s">
        <v>384</v>
      </c>
      <c r="L19" s="722" t="s">
        <v>385</v>
      </c>
      <c r="M19" s="723" t="s">
        <v>385</v>
      </c>
      <c r="N19" s="717">
        <v>236</v>
      </c>
      <c r="O19" s="718" t="s">
        <v>334</v>
      </c>
      <c r="P19" s="719">
        <v>50</v>
      </c>
      <c r="Q19" s="724">
        <v>100</v>
      </c>
      <c r="R19" s="717">
        <v>302</v>
      </c>
      <c r="S19" s="718" t="s">
        <v>394</v>
      </c>
      <c r="T19" s="719">
        <v>180</v>
      </c>
      <c r="U19" s="720">
        <v>230</v>
      </c>
    </row>
    <row r="20" spans="1:21" s="57" customFormat="1" x14ac:dyDescent="0.3">
      <c r="A20" s="700"/>
      <c r="B20" s="11">
        <v>1</v>
      </c>
      <c r="C20" s="10" t="s">
        <v>162</v>
      </c>
      <c r="D20" s="21">
        <v>17</v>
      </c>
      <c r="E20" s="515">
        <v>21</v>
      </c>
      <c r="F20" s="11">
        <v>1</v>
      </c>
      <c r="G20" s="10" t="s">
        <v>162</v>
      </c>
      <c r="H20" s="21">
        <v>17</v>
      </c>
      <c r="I20" s="518">
        <v>21</v>
      </c>
      <c r="J20" s="514">
        <v>315</v>
      </c>
      <c r="K20" s="10" t="s">
        <v>447</v>
      </c>
      <c r="L20" s="21">
        <v>100</v>
      </c>
      <c r="M20" s="518">
        <v>100</v>
      </c>
      <c r="N20" s="11">
        <v>351</v>
      </c>
      <c r="O20" s="10" t="s">
        <v>213</v>
      </c>
      <c r="P20" s="21">
        <v>15</v>
      </c>
      <c r="Q20" s="515">
        <v>30</v>
      </c>
      <c r="R20" s="11">
        <v>473</v>
      </c>
      <c r="S20" s="10" t="s">
        <v>395</v>
      </c>
      <c r="T20" s="21">
        <v>50</v>
      </c>
      <c r="U20" s="518">
        <v>50</v>
      </c>
    </row>
    <row r="21" spans="1:21" s="57" customFormat="1" x14ac:dyDescent="0.3">
      <c r="A21" s="700"/>
      <c r="B21" s="11">
        <v>394</v>
      </c>
      <c r="C21" s="10" t="s">
        <v>609</v>
      </c>
      <c r="D21" s="19">
        <v>150</v>
      </c>
      <c r="E21" s="710">
        <v>180</v>
      </c>
      <c r="F21" s="540">
        <v>400</v>
      </c>
      <c r="G21" s="10" t="s">
        <v>390</v>
      </c>
      <c r="H21" s="21">
        <v>150</v>
      </c>
      <c r="I21" s="518">
        <v>180</v>
      </c>
      <c r="J21" s="514">
        <v>393</v>
      </c>
      <c r="K21" s="10" t="s">
        <v>288</v>
      </c>
      <c r="L21" s="21">
        <v>150</v>
      </c>
      <c r="M21" s="515">
        <v>180</v>
      </c>
      <c r="N21" s="11">
        <v>401</v>
      </c>
      <c r="O21" s="10" t="s">
        <v>156</v>
      </c>
      <c r="P21" s="21">
        <v>150</v>
      </c>
      <c r="Q21" s="515">
        <v>180</v>
      </c>
      <c r="R21" s="11">
        <v>398</v>
      </c>
      <c r="S21" s="10" t="s">
        <v>631</v>
      </c>
      <c r="T21" s="21">
        <v>150</v>
      </c>
      <c r="U21" s="518">
        <v>180</v>
      </c>
    </row>
    <row r="22" spans="1:21" s="57" customFormat="1" x14ac:dyDescent="0.3">
      <c r="A22" s="700"/>
      <c r="B22" s="11">
        <v>493</v>
      </c>
      <c r="C22" s="541" t="s">
        <v>381</v>
      </c>
      <c r="D22" s="10">
        <v>50</v>
      </c>
      <c r="E22" s="515">
        <v>50</v>
      </c>
      <c r="F22" s="659"/>
      <c r="G22" s="135"/>
      <c r="H22" s="18"/>
      <c r="I22" s="535"/>
      <c r="J22" s="514">
        <v>1</v>
      </c>
      <c r="K22" s="10" t="s">
        <v>155</v>
      </c>
      <c r="L22" s="21">
        <v>17</v>
      </c>
      <c r="M22" s="515">
        <v>21</v>
      </c>
      <c r="N22" s="11">
        <v>1</v>
      </c>
      <c r="O22" s="10" t="s">
        <v>162</v>
      </c>
      <c r="P22" s="21">
        <v>17</v>
      </c>
      <c r="Q22" s="515">
        <v>21</v>
      </c>
      <c r="R22" s="11">
        <v>1</v>
      </c>
      <c r="S22" s="10" t="s">
        <v>162</v>
      </c>
      <c r="T22" s="21">
        <v>17</v>
      </c>
      <c r="U22" s="518">
        <v>21</v>
      </c>
    </row>
    <row r="23" spans="1:21" s="57" customFormat="1" ht="13.5" thickBot="1" x14ac:dyDescent="0.35">
      <c r="A23" s="701"/>
      <c r="B23" s="13"/>
      <c r="C23" s="12"/>
      <c r="D23" s="23"/>
      <c r="E23" s="550"/>
      <c r="F23" s="13"/>
      <c r="G23" s="12"/>
      <c r="H23" s="23"/>
      <c r="I23" s="526"/>
      <c r="J23" s="521">
        <v>493</v>
      </c>
      <c r="K23" s="12" t="s">
        <v>300</v>
      </c>
      <c r="L23" s="23">
        <v>35</v>
      </c>
      <c r="M23" s="550">
        <v>50</v>
      </c>
      <c r="N23" s="13"/>
      <c r="O23" s="12"/>
      <c r="P23" s="112"/>
      <c r="Q23" s="549"/>
      <c r="R23" s="13"/>
      <c r="S23" s="12"/>
      <c r="T23" s="23"/>
      <c r="U23" s="526"/>
    </row>
    <row r="24" spans="1:21" s="57" customFormat="1" ht="14.5" thickBot="1" x14ac:dyDescent="0.35">
      <c r="A24" s="217"/>
      <c r="B24" s="509"/>
      <c r="C24" s="16"/>
      <c r="D24" s="20"/>
      <c r="E24" s="510"/>
      <c r="F24" s="532"/>
      <c r="G24" s="150"/>
      <c r="H24" s="120"/>
      <c r="I24" s="531"/>
      <c r="J24" s="15"/>
      <c r="K24" s="61"/>
      <c r="L24" s="16"/>
      <c r="M24" s="17"/>
      <c r="N24" s="109"/>
      <c r="O24" s="22"/>
      <c r="P24" s="42"/>
      <c r="Q24" s="43"/>
      <c r="R24" s="24"/>
      <c r="S24" s="14"/>
      <c r="T24" s="25"/>
      <c r="U24" s="26"/>
    </row>
    <row r="25" spans="1:21" s="57" customFormat="1" ht="15.75" customHeight="1" thickBot="1" x14ac:dyDescent="0.35">
      <c r="A25" s="866" t="s">
        <v>1</v>
      </c>
      <c r="B25" s="219" t="s">
        <v>189</v>
      </c>
      <c r="C25" s="220" t="s">
        <v>116</v>
      </c>
      <c r="D25" s="836" t="s">
        <v>76</v>
      </c>
      <c r="E25" s="840"/>
      <c r="F25" s="219" t="s">
        <v>189</v>
      </c>
      <c r="G25" s="220" t="s">
        <v>116</v>
      </c>
      <c r="H25" s="836" t="s">
        <v>76</v>
      </c>
      <c r="I25" s="837"/>
      <c r="J25" s="221" t="s">
        <v>189</v>
      </c>
      <c r="K25" s="209" t="s">
        <v>116</v>
      </c>
      <c r="L25" s="836" t="s">
        <v>76</v>
      </c>
      <c r="M25" s="837"/>
      <c r="N25" s="211" t="s">
        <v>189</v>
      </c>
      <c r="O25" s="209" t="s">
        <v>116</v>
      </c>
      <c r="P25" s="836" t="s">
        <v>76</v>
      </c>
      <c r="Q25" s="837"/>
      <c r="R25" s="219" t="s">
        <v>189</v>
      </c>
      <c r="S25" s="220" t="s">
        <v>116</v>
      </c>
      <c r="T25" s="836" t="s">
        <v>76</v>
      </c>
      <c r="U25" s="837"/>
    </row>
    <row r="26" spans="1:21" s="57" customFormat="1" ht="14.5" thickBot="1" x14ac:dyDescent="0.35">
      <c r="A26" s="867"/>
      <c r="B26" s="861" t="s">
        <v>615</v>
      </c>
      <c r="C26" s="862"/>
      <c r="D26" s="212" t="s">
        <v>203</v>
      </c>
      <c r="E26" s="213" t="s">
        <v>204</v>
      </c>
      <c r="F26" s="859" t="s">
        <v>616</v>
      </c>
      <c r="G26" s="860"/>
      <c r="H26" s="212" t="s">
        <v>203</v>
      </c>
      <c r="I26" s="214" t="s">
        <v>204</v>
      </c>
      <c r="J26" s="859" t="s">
        <v>617</v>
      </c>
      <c r="K26" s="860"/>
      <c r="L26" s="212" t="s">
        <v>203</v>
      </c>
      <c r="M26" s="213" t="s">
        <v>204</v>
      </c>
      <c r="N26" s="859" t="s">
        <v>618</v>
      </c>
      <c r="O26" s="860"/>
      <c r="P26" s="212" t="s">
        <v>203</v>
      </c>
      <c r="Q26" s="213" t="s">
        <v>204</v>
      </c>
      <c r="R26" s="859" t="s">
        <v>619</v>
      </c>
      <c r="S26" s="860"/>
      <c r="T26" s="212" t="s">
        <v>203</v>
      </c>
      <c r="U26" s="214" t="s">
        <v>204</v>
      </c>
    </row>
    <row r="27" spans="1:21" s="57" customFormat="1" x14ac:dyDescent="0.3">
      <c r="A27" s="868"/>
      <c r="B27" s="509" t="s">
        <v>396</v>
      </c>
      <c r="C27" s="16" t="s">
        <v>397</v>
      </c>
      <c r="D27" s="116">
        <v>130</v>
      </c>
      <c r="E27" s="512">
        <v>150</v>
      </c>
      <c r="F27" s="551">
        <v>216</v>
      </c>
      <c r="G27" s="16" t="s">
        <v>100</v>
      </c>
      <c r="H27" s="116" t="s">
        <v>426</v>
      </c>
      <c r="I27" s="512" t="s">
        <v>426</v>
      </c>
      <c r="J27" s="509">
        <v>185</v>
      </c>
      <c r="K27" s="16" t="s">
        <v>331</v>
      </c>
      <c r="L27" s="116">
        <v>130</v>
      </c>
      <c r="M27" s="512">
        <v>150</v>
      </c>
      <c r="N27" s="509">
        <v>237</v>
      </c>
      <c r="O27" s="16" t="s">
        <v>417</v>
      </c>
      <c r="P27" s="116">
        <v>100</v>
      </c>
      <c r="Q27" s="511">
        <v>120</v>
      </c>
      <c r="R27" s="509">
        <v>216</v>
      </c>
      <c r="S27" s="16" t="s">
        <v>420</v>
      </c>
      <c r="T27" s="116">
        <v>125</v>
      </c>
      <c r="U27" s="512">
        <v>125</v>
      </c>
    </row>
    <row r="28" spans="1:21" s="57" customFormat="1" ht="27" customHeight="1" x14ac:dyDescent="0.3">
      <c r="A28" s="868"/>
      <c r="B28" s="11">
        <v>3</v>
      </c>
      <c r="C28" s="10" t="s">
        <v>378</v>
      </c>
      <c r="D28" s="376" t="s">
        <v>354</v>
      </c>
      <c r="E28" s="516" t="s">
        <v>379</v>
      </c>
      <c r="F28" s="514">
        <v>1</v>
      </c>
      <c r="G28" s="10" t="s">
        <v>283</v>
      </c>
      <c r="H28" s="119">
        <v>24</v>
      </c>
      <c r="I28" s="513">
        <v>30</v>
      </c>
      <c r="J28" s="11">
        <v>2</v>
      </c>
      <c r="K28" s="10" t="s">
        <v>398</v>
      </c>
      <c r="L28" s="376" t="s">
        <v>566</v>
      </c>
      <c r="M28" s="517" t="s">
        <v>368</v>
      </c>
      <c r="N28" s="11">
        <v>3</v>
      </c>
      <c r="O28" s="10" t="s">
        <v>474</v>
      </c>
      <c r="P28" s="376" t="s">
        <v>566</v>
      </c>
      <c r="Q28" s="517" t="s">
        <v>567</v>
      </c>
      <c r="R28" s="11">
        <v>3</v>
      </c>
      <c r="S28" s="571" t="s">
        <v>628</v>
      </c>
      <c r="T28" s="726" t="s">
        <v>352</v>
      </c>
      <c r="U28" s="727" t="s">
        <v>629</v>
      </c>
    </row>
    <row r="29" spans="1:21" s="57" customFormat="1" ht="13.5" thickBot="1" x14ac:dyDescent="0.35">
      <c r="A29" s="868"/>
      <c r="B29" s="11">
        <v>392</v>
      </c>
      <c r="C29" s="10" t="s">
        <v>390</v>
      </c>
      <c r="D29" s="21">
        <v>150</v>
      </c>
      <c r="E29" s="518">
        <v>180</v>
      </c>
      <c r="F29" s="514">
        <v>6</v>
      </c>
      <c r="G29" s="10" t="s">
        <v>28</v>
      </c>
      <c r="H29" s="21">
        <v>5</v>
      </c>
      <c r="I29" s="518">
        <v>5</v>
      </c>
      <c r="J29" s="11">
        <v>392</v>
      </c>
      <c r="K29" s="10" t="s">
        <v>400</v>
      </c>
      <c r="L29" s="18">
        <v>150</v>
      </c>
      <c r="M29" s="535">
        <v>180</v>
      </c>
      <c r="N29" s="11">
        <v>400</v>
      </c>
      <c r="O29" s="10" t="s">
        <v>390</v>
      </c>
      <c r="P29" s="19">
        <v>150</v>
      </c>
      <c r="Q29" s="519">
        <v>180</v>
      </c>
      <c r="R29" s="524">
        <v>392</v>
      </c>
      <c r="S29" s="125" t="s">
        <v>409</v>
      </c>
      <c r="T29" s="126">
        <v>150</v>
      </c>
      <c r="U29" s="546">
        <v>180</v>
      </c>
    </row>
    <row r="30" spans="1:21" s="57" customFormat="1" ht="13.5" thickBot="1" x14ac:dyDescent="0.35">
      <c r="A30" s="869"/>
      <c r="B30" s="13"/>
      <c r="C30" s="12"/>
      <c r="D30" s="131"/>
      <c r="E30" s="552"/>
      <c r="F30" s="542">
        <v>397</v>
      </c>
      <c r="G30" s="125" t="s">
        <v>53</v>
      </c>
      <c r="H30" s="129">
        <v>150</v>
      </c>
      <c r="I30" s="553">
        <v>180</v>
      </c>
      <c r="J30" s="524"/>
      <c r="K30" s="125"/>
      <c r="L30" s="133"/>
      <c r="M30" s="525"/>
      <c r="N30" s="13"/>
      <c r="O30" s="12"/>
      <c r="P30" s="23"/>
      <c r="Q30" s="550"/>
      <c r="R30" s="47">
        <v>368</v>
      </c>
      <c r="S30" s="48" t="s">
        <v>115</v>
      </c>
      <c r="T30" s="229">
        <v>95</v>
      </c>
      <c r="U30" s="50"/>
    </row>
    <row r="31" spans="1:21" s="57" customFormat="1" ht="12.75" customHeight="1" thickBot="1" x14ac:dyDescent="0.35">
      <c r="A31" s="218" t="s">
        <v>83</v>
      </c>
      <c r="B31" s="379">
        <v>399</v>
      </c>
      <c r="C31" s="22" t="s">
        <v>212</v>
      </c>
      <c r="D31" s="137" t="s">
        <v>205</v>
      </c>
      <c r="E31" s="138" t="s">
        <v>470</v>
      </c>
      <c r="F31" s="527">
        <v>401</v>
      </c>
      <c r="G31" s="48" t="s">
        <v>156</v>
      </c>
      <c r="H31" s="229">
        <v>150</v>
      </c>
      <c r="I31" s="50">
        <v>180</v>
      </c>
      <c r="J31" s="47">
        <v>368</v>
      </c>
      <c r="K31" s="113" t="s">
        <v>192</v>
      </c>
      <c r="L31" s="229">
        <v>95</v>
      </c>
      <c r="M31" s="50">
        <v>100</v>
      </c>
      <c r="N31" s="288">
        <v>401</v>
      </c>
      <c r="O31" s="48" t="s">
        <v>156</v>
      </c>
      <c r="P31" s="371">
        <v>150</v>
      </c>
      <c r="Q31" s="380">
        <v>180</v>
      </c>
      <c r="R31" s="47">
        <v>399</v>
      </c>
      <c r="S31" s="48" t="s">
        <v>630</v>
      </c>
      <c r="T31" s="554"/>
      <c r="U31" s="555" t="s">
        <v>470</v>
      </c>
    </row>
    <row r="32" spans="1:21" s="57" customFormat="1" ht="12.75" customHeight="1" x14ac:dyDescent="0.3">
      <c r="A32" s="863" t="s">
        <v>3</v>
      </c>
      <c r="B32" s="509">
        <v>12</v>
      </c>
      <c r="C32" s="16" t="s">
        <v>401</v>
      </c>
      <c r="D32" s="17">
        <v>30</v>
      </c>
      <c r="E32" s="556">
        <v>50</v>
      </c>
      <c r="F32" s="551">
        <v>48</v>
      </c>
      <c r="G32" s="16" t="s">
        <v>411</v>
      </c>
      <c r="H32" s="20">
        <v>30</v>
      </c>
      <c r="I32" s="547">
        <v>50</v>
      </c>
      <c r="J32" s="509">
        <v>31</v>
      </c>
      <c r="K32" s="16" t="s">
        <v>290</v>
      </c>
      <c r="L32" s="230">
        <v>30</v>
      </c>
      <c r="M32" s="557">
        <v>50</v>
      </c>
      <c r="N32" s="509">
        <v>10</v>
      </c>
      <c r="O32" s="16" t="s">
        <v>418</v>
      </c>
      <c r="P32" s="17">
        <v>30</v>
      </c>
      <c r="Q32" s="556">
        <v>50</v>
      </c>
      <c r="R32" s="509">
        <v>15</v>
      </c>
      <c r="S32" s="16" t="s">
        <v>332</v>
      </c>
      <c r="T32" s="230">
        <v>30</v>
      </c>
      <c r="U32" s="557">
        <v>50</v>
      </c>
    </row>
    <row r="33" spans="1:21" s="57" customFormat="1" x14ac:dyDescent="0.3">
      <c r="A33" s="864"/>
      <c r="B33" s="11">
        <v>74</v>
      </c>
      <c r="C33" s="10" t="s">
        <v>402</v>
      </c>
      <c r="D33" s="18">
        <v>150</v>
      </c>
      <c r="E33" s="535">
        <v>180</v>
      </c>
      <c r="F33" s="139">
        <v>83</v>
      </c>
      <c r="G33" s="10" t="s">
        <v>404</v>
      </c>
      <c r="H33" s="19">
        <v>150</v>
      </c>
      <c r="I33" s="519">
        <v>180</v>
      </c>
      <c r="J33" s="514">
        <v>81</v>
      </c>
      <c r="K33" s="10" t="s">
        <v>214</v>
      </c>
      <c r="L33" s="21">
        <v>150</v>
      </c>
      <c r="M33" s="515">
        <v>180</v>
      </c>
      <c r="N33" s="11">
        <v>86</v>
      </c>
      <c r="O33" s="10" t="s">
        <v>202</v>
      </c>
      <c r="P33" s="148">
        <v>150</v>
      </c>
      <c r="Q33" s="560">
        <v>180</v>
      </c>
      <c r="R33" s="11">
        <v>63</v>
      </c>
      <c r="S33" s="10" t="s">
        <v>330</v>
      </c>
      <c r="T33" s="148">
        <v>150</v>
      </c>
      <c r="U33" s="560">
        <v>180</v>
      </c>
    </row>
    <row r="34" spans="1:21" s="57" customFormat="1" x14ac:dyDescent="0.3">
      <c r="A34" s="864"/>
      <c r="B34" s="11">
        <v>274</v>
      </c>
      <c r="C34" s="10" t="s">
        <v>220</v>
      </c>
      <c r="D34" s="21">
        <v>170</v>
      </c>
      <c r="E34" s="518">
        <v>170</v>
      </c>
      <c r="F34" s="11">
        <v>307</v>
      </c>
      <c r="G34" s="10" t="s">
        <v>405</v>
      </c>
      <c r="H34" s="21">
        <v>60</v>
      </c>
      <c r="I34" s="518">
        <v>80</v>
      </c>
      <c r="J34" s="537">
        <v>258</v>
      </c>
      <c r="K34" s="10" t="s">
        <v>412</v>
      </c>
      <c r="L34" s="21">
        <v>55</v>
      </c>
      <c r="M34" s="515">
        <v>85</v>
      </c>
      <c r="N34" s="11">
        <v>287</v>
      </c>
      <c r="O34" s="10" t="s">
        <v>326</v>
      </c>
      <c r="P34" s="19" t="s">
        <v>87</v>
      </c>
      <c r="Q34" s="519" t="s">
        <v>256</v>
      </c>
      <c r="R34" s="11">
        <v>253</v>
      </c>
      <c r="S34" s="10" t="s">
        <v>421</v>
      </c>
      <c r="T34" s="148">
        <v>60</v>
      </c>
      <c r="U34" s="560">
        <v>80</v>
      </c>
    </row>
    <row r="35" spans="1:21" s="57" customFormat="1" x14ac:dyDescent="0.3">
      <c r="A35" s="864"/>
      <c r="B35" s="11">
        <v>372</v>
      </c>
      <c r="C35" s="10" t="s">
        <v>259</v>
      </c>
      <c r="D35" s="21">
        <v>150</v>
      </c>
      <c r="E35" s="518">
        <v>180</v>
      </c>
      <c r="F35" s="11">
        <v>168</v>
      </c>
      <c r="G35" s="10" t="s">
        <v>406</v>
      </c>
      <c r="H35" s="19" t="s">
        <v>393</v>
      </c>
      <c r="I35" s="519" t="s">
        <v>149</v>
      </c>
      <c r="J35" s="514">
        <v>125</v>
      </c>
      <c r="K35" s="10" t="s">
        <v>413</v>
      </c>
      <c r="L35" s="21">
        <v>105</v>
      </c>
      <c r="M35" s="515">
        <v>135</v>
      </c>
      <c r="N35" s="11">
        <v>336</v>
      </c>
      <c r="O35" s="10" t="s">
        <v>218</v>
      </c>
      <c r="P35" s="21">
        <v>110</v>
      </c>
      <c r="Q35" s="518">
        <v>130</v>
      </c>
      <c r="R35" s="11">
        <v>321</v>
      </c>
      <c r="S35" s="10" t="s">
        <v>98</v>
      </c>
      <c r="T35" s="148">
        <v>110</v>
      </c>
      <c r="U35" s="560">
        <v>130</v>
      </c>
    </row>
    <row r="36" spans="1:21" s="57" customFormat="1" x14ac:dyDescent="0.3">
      <c r="A36" s="864"/>
      <c r="B36" s="11">
        <v>1</v>
      </c>
      <c r="C36" s="10" t="s">
        <v>155</v>
      </c>
      <c r="D36" s="114">
        <v>20</v>
      </c>
      <c r="E36" s="538">
        <v>25</v>
      </c>
      <c r="F36" s="11">
        <v>382</v>
      </c>
      <c r="G36" s="10" t="s">
        <v>407</v>
      </c>
      <c r="H36" s="21">
        <v>150</v>
      </c>
      <c r="I36" s="518">
        <v>180</v>
      </c>
      <c r="J36" s="11">
        <v>372</v>
      </c>
      <c r="K36" s="10" t="s">
        <v>414</v>
      </c>
      <c r="L36" s="21">
        <v>150</v>
      </c>
      <c r="M36" s="518">
        <v>180</v>
      </c>
      <c r="N36" s="11">
        <v>376</v>
      </c>
      <c r="O36" s="10" t="s">
        <v>273</v>
      </c>
      <c r="P36" s="148">
        <v>150</v>
      </c>
      <c r="Q36" s="560">
        <v>180</v>
      </c>
      <c r="R36" s="11">
        <v>372</v>
      </c>
      <c r="S36" s="10" t="s">
        <v>259</v>
      </c>
      <c r="T36" s="21">
        <v>150</v>
      </c>
      <c r="U36" s="518">
        <v>180</v>
      </c>
    </row>
    <row r="37" spans="1:21" s="57" customFormat="1" x14ac:dyDescent="0.3">
      <c r="A37" s="864"/>
      <c r="B37" s="524">
        <v>1</v>
      </c>
      <c r="C37" s="125" t="s">
        <v>162</v>
      </c>
      <c r="D37" s="133">
        <v>17</v>
      </c>
      <c r="E37" s="525">
        <v>21</v>
      </c>
      <c r="F37" s="11">
        <v>1</v>
      </c>
      <c r="G37" s="10" t="s">
        <v>155</v>
      </c>
      <c r="H37" s="119">
        <v>20</v>
      </c>
      <c r="I37" s="513">
        <v>25</v>
      </c>
      <c r="J37" s="514">
        <v>1</v>
      </c>
      <c r="K37" s="10" t="s">
        <v>72</v>
      </c>
      <c r="L37" s="119">
        <v>20</v>
      </c>
      <c r="M37" s="539">
        <v>25</v>
      </c>
      <c r="N37" s="11">
        <v>1</v>
      </c>
      <c r="O37" s="10" t="s">
        <v>72</v>
      </c>
      <c r="P37" s="119">
        <v>20</v>
      </c>
      <c r="Q37" s="513">
        <v>25</v>
      </c>
      <c r="R37" s="11">
        <v>1</v>
      </c>
      <c r="S37" s="10" t="s">
        <v>72</v>
      </c>
      <c r="T37" s="561">
        <v>20</v>
      </c>
      <c r="U37" s="562">
        <v>25</v>
      </c>
    </row>
    <row r="38" spans="1:21" s="57" customFormat="1" ht="12.75" customHeight="1" thickBot="1" x14ac:dyDescent="0.35">
      <c r="A38" s="864"/>
      <c r="B38" s="524"/>
      <c r="C38" s="125"/>
      <c r="D38" s="133"/>
      <c r="E38" s="525"/>
      <c r="F38" s="524">
        <v>1</v>
      </c>
      <c r="G38" s="125" t="s">
        <v>162</v>
      </c>
      <c r="H38" s="126">
        <v>17</v>
      </c>
      <c r="I38" s="546">
        <v>21</v>
      </c>
      <c r="J38" s="542">
        <v>1</v>
      </c>
      <c r="K38" s="125" t="s">
        <v>162</v>
      </c>
      <c r="L38" s="126">
        <v>17</v>
      </c>
      <c r="M38" s="543">
        <v>21</v>
      </c>
      <c r="N38" s="11">
        <v>1</v>
      </c>
      <c r="O38" s="10" t="s">
        <v>162</v>
      </c>
      <c r="P38" s="119">
        <v>17</v>
      </c>
      <c r="Q38" s="518">
        <v>21</v>
      </c>
      <c r="R38" s="13">
        <v>1</v>
      </c>
      <c r="S38" s="12" t="s">
        <v>162</v>
      </c>
      <c r="T38" s="295">
        <v>17</v>
      </c>
      <c r="U38" s="563">
        <v>21</v>
      </c>
    </row>
    <row r="39" spans="1:21" s="57" customFormat="1" ht="14.25" customHeight="1" x14ac:dyDescent="0.3">
      <c r="A39" s="870" t="s">
        <v>4</v>
      </c>
      <c r="B39" s="564">
        <v>208</v>
      </c>
      <c r="C39" s="565" t="s">
        <v>422</v>
      </c>
      <c r="D39" s="20">
        <v>135</v>
      </c>
      <c r="E39" s="510">
        <v>205</v>
      </c>
      <c r="F39" s="509">
        <v>230</v>
      </c>
      <c r="G39" s="16" t="s">
        <v>408</v>
      </c>
      <c r="H39" s="20">
        <v>65</v>
      </c>
      <c r="I39" s="547">
        <v>105</v>
      </c>
      <c r="J39" s="509">
        <v>292</v>
      </c>
      <c r="K39" s="16" t="s">
        <v>415</v>
      </c>
      <c r="L39" s="20">
        <v>120</v>
      </c>
      <c r="M39" s="510">
        <v>160</v>
      </c>
      <c r="N39" s="551">
        <v>291</v>
      </c>
      <c r="O39" s="16" t="s">
        <v>316</v>
      </c>
      <c r="P39" s="116" t="s">
        <v>149</v>
      </c>
      <c r="Q39" s="511" t="s">
        <v>627</v>
      </c>
      <c r="R39" s="509">
        <v>304</v>
      </c>
      <c r="S39" s="16" t="s">
        <v>403</v>
      </c>
      <c r="T39" s="17">
        <v>120</v>
      </c>
      <c r="U39" s="556">
        <v>150</v>
      </c>
    </row>
    <row r="40" spans="1:21" s="57" customFormat="1" x14ac:dyDescent="0.3">
      <c r="A40" s="871"/>
      <c r="B40" s="11">
        <v>400</v>
      </c>
      <c r="C40" s="10" t="s">
        <v>162</v>
      </c>
      <c r="D40" s="19">
        <v>17</v>
      </c>
      <c r="E40" s="519">
        <v>21</v>
      </c>
      <c r="F40" s="11">
        <v>1</v>
      </c>
      <c r="G40" s="10" t="s">
        <v>162</v>
      </c>
      <c r="H40" s="21">
        <v>17</v>
      </c>
      <c r="I40" s="515">
        <v>21</v>
      </c>
      <c r="J40" s="11">
        <v>294</v>
      </c>
      <c r="K40" s="10" t="s">
        <v>416</v>
      </c>
      <c r="L40" s="21">
        <v>50</v>
      </c>
      <c r="M40" s="518">
        <v>50</v>
      </c>
      <c r="N40" s="514">
        <v>8</v>
      </c>
      <c r="O40" s="10" t="s">
        <v>157</v>
      </c>
      <c r="P40" s="127"/>
      <c r="Q40" s="566" t="s">
        <v>206</v>
      </c>
      <c r="R40" s="11">
        <v>400</v>
      </c>
      <c r="S40" s="10" t="s">
        <v>390</v>
      </c>
      <c r="T40" s="19">
        <v>150</v>
      </c>
      <c r="U40" s="519">
        <v>180</v>
      </c>
    </row>
    <row r="41" spans="1:21" s="57" customFormat="1" x14ac:dyDescent="0.3">
      <c r="A41" s="871"/>
      <c r="B41" s="11"/>
      <c r="C41" s="10"/>
      <c r="D41" s="119"/>
      <c r="E41" s="518"/>
      <c r="F41" s="11">
        <v>401</v>
      </c>
      <c r="G41" s="19" t="s">
        <v>258</v>
      </c>
      <c r="H41" s="21">
        <v>150</v>
      </c>
      <c r="I41" s="515">
        <v>180</v>
      </c>
      <c r="J41" s="11">
        <v>399</v>
      </c>
      <c r="K41" s="10" t="s">
        <v>84</v>
      </c>
      <c r="L41" s="21">
        <v>200</v>
      </c>
      <c r="M41" s="518">
        <v>180</v>
      </c>
      <c r="N41" s="514">
        <v>393</v>
      </c>
      <c r="O41" s="10" t="s">
        <v>288</v>
      </c>
      <c r="P41" s="21">
        <v>150</v>
      </c>
      <c r="Q41" s="515">
        <v>180</v>
      </c>
      <c r="R41" s="11">
        <v>1</v>
      </c>
      <c r="S41" s="10" t="s">
        <v>162</v>
      </c>
      <c r="T41" s="18">
        <v>17</v>
      </c>
      <c r="U41" s="535">
        <v>21</v>
      </c>
    </row>
    <row r="42" spans="1:21" s="57" customFormat="1" x14ac:dyDescent="0.3">
      <c r="A42" s="871"/>
      <c r="B42" s="11">
        <v>391</v>
      </c>
      <c r="C42" s="10" t="s">
        <v>564</v>
      </c>
      <c r="D42" s="21">
        <v>150</v>
      </c>
      <c r="E42" s="518">
        <v>180</v>
      </c>
      <c r="F42" s="11"/>
      <c r="G42" s="10"/>
      <c r="H42" s="18"/>
      <c r="I42" s="548"/>
      <c r="J42" s="11">
        <v>1</v>
      </c>
      <c r="K42" s="10" t="s">
        <v>162</v>
      </c>
      <c r="L42" s="119">
        <v>17</v>
      </c>
      <c r="M42" s="518">
        <v>21</v>
      </c>
      <c r="N42" s="514">
        <v>1</v>
      </c>
      <c r="O42" s="10" t="s">
        <v>155</v>
      </c>
      <c r="P42" s="21">
        <v>17</v>
      </c>
      <c r="Q42" s="515">
        <v>21</v>
      </c>
      <c r="R42" s="11"/>
      <c r="S42" s="10" t="s">
        <v>568</v>
      </c>
      <c r="T42" s="18">
        <v>50</v>
      </c>
      <c r="U42" s="535">
        <v>50</v>
      </c>
    </row>
    <row r="43" spans="1:21" s="57" customFormat="1" ht="13.5" thickBot="1" x14ac:dyDescent="0.35">
      <c r="A43" s="872"/>
      <c r="B43" s="13"/>
      <c r="C43" s="12"/>
      <c r="D43" s="117"/>
      <c r="E43" s="526"/>
      <c r="F43" s="13"/>
      <c r="G43" s="12"/>
      <c r="H43" s="23"/>
      <c r="I43" s="550"/>
      <c r="J43" s="13"/>
      <c r="K43" s="12"/>
      <c r="L43" s="289"/>
      <c r="M43" s="567"/>
      <c r="N43" s="521"/>
      <c r="O43" s="12"/>
      <c r="P43" s="117"/>
      <c r="Q43" s="550"/>
      <c r="R43" s="13"/>
      <c r="S43" s="12"/>
      <c r="T43" s="112"/>
      <c r="U43" s="520"/>
    </row>
    <row r="45" spans="1:21" x14ac:dyDescent="0.3">
      <c r="F45" s="36"/>
      <c r="G45" s="39"/>
      <c r="H45" s="29"/>
      <c r="I45" s="36"/>
      <c r="J45" s="37"/>
      <c r="K45" s="5"/>
      <c r="L45" s="29"/>
      <c r="M45" s="37"/>
      <c r="N45"/>
      <c r="O45"/>
      <c r="P45"/>
      <c r="Q45"/>
      <c r="R45"/>
      <c r="S45"/>
      <c r="T45"/>
      <c r="U45"/>
    </row>
    <row r="46" spans="1:21" x14ac:dyDescent="0.3">
      <c r="F46" s="36"/>
      <c r="G46" s="39"/>
      <c r="H46" s="29"/>
      <c r="I46" s="36"/>
      <c r="J46" s="37"/>
      <c r="K46" s="5"/>
      <c r="L46" s="29"/>
      <c r="M46" s="37"/>
      <c r="N46"/>
      <c r="O46"/>
      <c r="P46"/>
      <c r="Q46"/>
      <c r="R46"/>
      <c r="S46"/>
      <c r="T46"/>
      <c r="U46"/>
    </row>
    <row r="47" spans="1:21" x14ac:dyDescent="0.3">
      <c r="F47" s="36"/>
      <c r="G47" s="39"/>
      <c r="H47" s="29"/>
      <c r="I47" s="36"/>
      <c r="J47" s="37"/>
      <c r="K47" s="5"/>
      <c r="L47" s="29"/>
      <c r="M47" s="37"/>
      <c r="N47"/>
      <c r="O47"/>
      <c r="P47"/>
      <c r="Q47"/>
      <c r="R47"/>
      <c r="S47"/>
      <c r="T47"/>
      <c r="U47"/>
    </row>
    <row r="48" spans="1:21" x14ac:dyDescent="0.3">
      <c r="F48" s="36"/>
      <c r="G48" s="39"/>
      <c r="H48" s="29"/>
      <c r="I48" s="36"/>
      <c r="J48" s="37"/>
      <c r="K48" s="5"/>
      <c r="L48" s="29"/>
      <c r="M48" s="37"/>
      <c r="N48"/>
      <c r="O48"/>
      <c r="P48"/>
      <c r="Q48"/>
      <c r="R48"/>
      <c r="S48"/>
      <c r="T48"/>
      <c r="U48"/>
    </row>
    <row r="49" spans="14:21" x14ac:dyDescent="0.3">
      <c r="N49" s="37"/>
      <c r="O49" s="37"/>
      <c r="P49"/>
      <c r="Q49"/>
      <c r="R49"/>
      <c r="S49"/>
      <c r="T49"/>
      <c r="U49"/>
    </row>
  </sheetData>
  <mergeCells count="26">
    <mergeCell ref="A39:A43"/>
    <mergeCell ref="A32:A38"/>
    <mergeCell ref="H4:I4"/>
    <mergeCell ref="A11:A18"/>
    <mergeCell ref="D4:E4"/>
    <mergeCell ref="A1:U3"/>
    <mergeCell ref="N5:O5"/>
    <mergeCell ref="B26:C26"/>
    <mergeCell ref="F26:G26"/>
    <mergeCell ref="J26:K26"/>
    <mergeCell ref="R26:S26"/>
    <mergeCell ref="N26:O26"/>
    <mergeCell ref="A5:A9"/>
    <mergeCell ref="A25:A30"/>
    <mergeCell ref="T4:U4"/>
    <mergeCell ref="L4:M4"/>
    <mergeCell ref="P4:Q4"/>
    <mergeCell ref="T25:U25"/>
    <mergeCell ref="B5:C5"/>
    <mergeCell ref="F5:G5"/>
    <mergeCell ref="J5:K5"/>
    <mergeCell ref="R5:S5"/>
    <mergeCell ref="D25:E25"/>
    <mergeCell ref="L25:M25"/>
    <mergeCell ref="H25:I25"/>
    <mergeCell ref="P25:Q25"/>
  </mergeCells>
  <phoneticPr fontId="2" type="noConversion"/>
  <pageMargins left="0.14000000000000001" right="0.21" top="0.24" bottom="0.3" header="0.53" footer="0.33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37"/>
  <sheetViews>
    <sheetView tabSelected="1" showWhiteSpace="0" view="pageLayout" topLeftCell="A663" zoomScale="129" zoomScaleNormal="100" zoomScaleSheetLayoutView="100" zoomScalePageLayoutView="129" workbookViewId="0">
      <selection activeCell="C663" sqref="C663"/>
    </sheetView>
  </sheetViews>
  <sheetFormatPr defaultRowHeight="13" x14ac:dyDescent="0.3"/>
  <cols>
    <col min="1" max="1" width="9.1796875" style="29" customWidth="1"/>
    <col min="2" max="2" width="24.7265625" style="29" customWidth="1"/>
    <col min="3" max="3" width="25.54296875" style="29" customWidth="1"/>
    <col min="4" max="4" width="8.1796875" style="30" customWidth="1"/>
    <col min="5" max="5" width="7.453125" style="30" customWidth="1"/>
    <col min="6" max="6" width="8.453125" style="30" customWidth="1"/>
    <col min="7" max="7" width="8" style="30" customWidth="1"/>
    <col min="8" max="16" width="9.1796875" style="1" customWidth="1"/>
  </cols>
  <sheetData>
    <row r="1" spans="1:7" ht="14.5" customHeight="1" thickBot="1" x14ac:dyDescent="0.35">
      <c r="A1" s="163" t="s">
        <v>297</v>
      </c>
      <c r="B1" s="875" t="s">
        <v>578</v>
      </c>
      <c r="C1" s="164"/>
      <c r="D1" s="877" t="s">
        <v>69</v>
      </c>
      <c r="E1" s="874"/>
      <c r="F1" s="873" t="s">
        <v>70</v>
      </c>
      <c r="G1" s="874"/>
    </row>
    <row r="2" spans="1:7" ht="14.5" customHeight="1" thickBot="1" x14ac:dyDescent="0.35">
      <c r="A2" s="227" t="s">
        <v>131</v>
      </c>
      <c r="B2" s="876"/>
      <c r="C2" s="228"/>
      <c r="D2" s="173" t="s">
        <v>91</v>
      </c>
      <c r="E2" s="174" t="s">
        <v>46</v>
      </c>
      <c r="F2" s="173" t="s">
        <v>91</v>
      </c>
      <c r="G2" s="174" t="s">
        <v>46</v>
      </c>
    </row>
    <row r="3" spans="1:7" ht="14.5" customHeight="1" x14ac:dyDescent="0.3">
      <c r="A3" s="509">
        <v>168</v>
      </c>
      <c r="B3" s="16" t="s">
        <v>476</v>
      </c>
      <c r="C3" s="16" t="s">
        <v>114</v>
      </c>
      <c r="D3" s="668">
        <f>800*130/1000</f>
        <v>104</v>
      </c>
      <c r="E3" s="668">
        <f>800*130/1000</f>
        <v>104</v>
      </c>
      <c r="F3" s="668">
        <f>800*150/1000</f>
        <v>120</v>
      </c>
      <c r="G3" s="669">
        <f>800*150/1000</f>
        <v>120</v>
      </c>
    </row>
    <row r="4" spans="1:7" ht="14.5" customHeight="1" x14ac:dyDescent="0.3">
      <c r="A4" s="92"/>
      <c r="B4" s="10"/>
      <c r="C4" s="10" t="s">
        <v>135</v>
      </c>
      <c r="D4" s="670">
        <f>D3*0.12</f>
        <v>12.48</v>
      </c>
      <c r="E4" s="670">
        <f>E3*0.12</f>
        <v>12.48</v>
      </c>
      <c r="F4" s="670">
        <f>F3*0.12</f>
        <v>14.399999999999999</v>
      </c>
      <c r="G4" s="671">
        <f>G3*0.12</f>
        <v>14.399999999999999</v>
      </c>
    </row>
    <row r="5" spans="1:7" ht="14.5" customHeight="1" x14ac:dyDescent="0.3">
      <c r="A5" s="92" t="s">
        <v>133</v>
      </c>
      <c r="B5" s="665" t="s">
        <v>579</v>
      </c>
      <c r="C5" s="10" t="s">
        <v>57</v>
      </c>
      <c r="D5" s="670">
        <v>5</v>
      </c>
      <c r="E5" s="670">
        <v>5</v>
      </c>
      <c r="F5" s="670">
        <v>5</v>
      </c>
      <c r="G5" s="671">
        <v>5</v>
      </c>
    </row>
    <row r="6" spans="1:7" ht="14.5" customHeight="1" x14ac:dyDescent="0.3">
      <c r="A6" s="92"/>
      <c r="B6" s="10"/>
      <c r="C6" s="10" t="s">
        <v>55</v>
      </c>
      <c r="D6" s="670">
        <v>5</v>
      </c>
      <c r="E6" s="670">
        <v>5</v>
      </c>
      <c r="F6" s="670">
        <v>5</v>
      </c>
      <c r="G6" s="671">
        <v>5</v>
      </c>
    </row>
    <row r="7" spans="1:7" ht="14.5" customHeight="1" x14ac:dyDescent="0.3">
      <c r="A7" s="92"/>
      <c r="B7" s="10"/>
      <c r="C7" s="10" t="s">
        <v>477</v>
      </c>
      <c r="D7" s="670">
        <f>222*130/1000</f>
        <v>28.86</v>
      </c>
      <c r="E7" s="670">
        <f>222*130/1000</f>
        <v>28.86</v>
      </c>
      <c r="F7" s="670">
        <f>222*150/1000</f>
        <v>33.299999999999997</v>
      </c>
      <c r="G7" s="671">
        <f>222*150/1000</f>
        <v>33.299999999999997</v>
      </c>
    </row>
    <row r="8" spans="1:7" ht="14.5" customHeight="1" x14ac:dyDescent="0.3">
      <c r="A8" s="92"/>
      <c r="B8" s="10"/>
      <c r="C8" s="10" t="s">
        <v>221</v>
      </c>
      <c r="D8" s="670">
        <f>D3-D4</f>
        <v>91.52</v>
      </c>
      <c r="E8" s="670">
        <f>E3-E4</f>
        <v>91.52</v>
      </c>
      <c r="F8" s="670">
        <f>F3-F4</f>
        <v>105.6</v>
      </c>
      <c r="G8" s="671">
        <f>G3-G4</f>
        <v>105.6</v>
      </c>
    </row>
    <row r="9" spans="1:7" ht="14.5" customHeight="1" x14ac:dyDescent="0.3">
      <c r="A9" s="92"/>
      <c r="B9" s="10"/>
      <c r="C9" s="10" t="s">
        <v>56</v>
      </c>
      <c r="D9" s="670">
        <f>1.5*130/1000</f>
        <v>0.19500000000000001</v>
      </c>
      <c r="E9" s="670">
        <f>1.5*150/1000</f>
        <v>0.22500000000000001</v>
      </c>
      <c r="F9" s="670">
        <f>1.5*150/1000</f>
        <v>0.22500000000000001</v>
      </c>
      <c r="G9" s="671">
        <f>1.5*150/1000</f>
        <v>0.22500000000000001</v>
      </c>
    </row>
    <row r="10" spans="1:7" ht="14.5" customHeight="1" x14ac:dyDescent="0.3">
      <c r="A10" s="11">
        <v>3</v>
      </c>
      <c r="B10" s="10" t="s">
        <v>474</v>
      </c>
      <c r="C10" s="10" t="s">
        <v>284</v>
      </c>
      <c r="D10" s="93">
        <v>24</v>
      </c>
      <c r="E10" s="93">
        <v>24</v>
      </c>
      <c r="F10" s="93">
        <v>30</v>
      </c>
      <c r="G10" s="94">
        <v>30</v>
      </c>
    </row>
    <row r="11" spans="1:7" ht="14.5" customHeight="1" x14ac:dyDescent="0.3">
      <c r="A11" s="92"/>
      <c r="B11" s="10" t="s">
        <v>475</v>
      </c>
      <c r="C11" s="10"/>
      <c r="D11" s="93"/>
      <c r="E11" s="93"/>
      <c r="F11" s="93"/>
      <c r="G11" s="94"/>
    </row>
    <row r="12" spans="1:7" ht="14.5" customHeight="1" x14ac:dyDescent="0.3">
      <c r="A12" s="92">
        <v>6</v>
      </c>
      <c r="B12" s="10" t="s">
        <v>28</v>
      </c>
      <c r="C12" s="10" t="s">
        <v>136</v>
      </c>
      <c r="D12" s="93">
        <v>5</v>
      </c>
      <c r="E12" s="93">
        <v>5</v>
      </c>
      <c r="F12" s="93">
        <v>5</v>
      </c>
      <c r="G12" s="94">
        <v>5</v>
      </c>
    </row>
    <row r="13" spans="1:7" ht="14.5" customHeight="1" x14ac:dyDescent="0.3">
      <c r="A13" s="11">
        <v>395</v>
      </c>
      <c r="B13" s="10" t="s">
        <v>71</v>
      </c>
      <c r="C13" s="10" t="s">
        <v>58</v>
      </c>
      <c r="D13" s="93">
        <v>2</v>
      </c>
      <c r="E13" s="93">
        <v>2</v>
      </c>
      <c r="F13" s="93">
        <v>3</v>
      </c>
      <c r="G13" s="94">
        <v>3</v>
      </c>
    </row>
    <row r="14" spans="1:7" ht="14.5" customHeight="1" x14ac:dyDescent="0.3">
      <c r="A14" s="92"/>
      <c r="B14" s="10" t="s">
        <v>59</v>
      </c>
      <c r="C14" s="10" t="s">
        <v>55</v>
      </c>
      <c r="D14" s="93">
        <v>7</v>
      </c>
      <c r="E14" s="93">
        <v>7</v>
      </c>
      <c r="F14" s="93">
        <v>10</v>
      </c>
      <c r="G14" s="94">
        <v>10</v>
      </c>
    </row>
    <row r="15" spans="1:7" ht="14.5" customHeight="1" x14ac:dyDescent="0.3">
      <c r="A15" s="92"/>
      <c r="B15" s="10"/>
      <c r="C15" s="10" t="s">
        <v>114</v>
      </c>
      <c r="D15" s="93">
        <v>75</v>
      </c>
      <c r="E15" s="93">
        <v>75</v>
      </c>
      <c r="F15" s="93">
        <v>90</v>
      </c>
      <c r="G15" s="94">
        <v>90</v>
      </c>
    </row>
    <row r="16" spans="1:7" ht="14.5" customHeight="1" thickBot="1" x14ac:dyDescent="0.35">
      <c r="A16" s="28"/>
      <c r="B16" s="12"/>
      <c r="C16" s="12" t="s">
        <v>54</v>
      </c>
      <c r="D16" s="63">
        <v>90</v>
      </c>
      <c r="E16" s="63">
        <v>90</v>
      </c>
      <c r="F16" s="63">
        <v>108</v>
      </c>
      <c r="G16" s="184">
        <v>108</v>
      </c>
    </row>
    <row r="17" spans="1:7" ht="14.5" customHeight="1" thickBot="1" x14ac:dyDescent="0.35">
      <c r="A17" s="226">
        <v>399</v>
      </c>
      <c r="B17" s="185" t="s">
        <v>84</v>
      </c>
      <c r="C17" s="185" t="s">
        <v>84</v>
      </c>
      <c r="D17" s="672">
        <v>200</v>
      </c>
      <c r="E17" s="672">
        <v>200</v>
      </c>
      <c r="F17" s="672">
        <v>180</v>
      </c>
      <c r="G17" s="673">
        <v>180</v>
      </c>
    </row>
    <row r="18" spans="1:7" ht="14.5" customHeight="1" x14ac:dyDescent="0.3">
      <c r="A18" s="509">
        <v>53</v>
      </c>
      <c r="B18" s="16" t="s">
        <v>257</v>
      </c>
      <c r="C18" s="16" t="s">
        <v>251</v>
      </c>
      <c r="D18" s="568">
        <f>1684*30/1000</f>
        <v>50.52</v>
      </c>
      <c r="E18" s="568">
        <f>1128*30/1000</f>
        <v>33.840000000000003</v>
      </c>
      <c r="F18" s="568">
        <f>1684*50/1000</f>
        <v>84.2</v>
      </c>
      <c r="G18" s="569">
        <f>1128*50/1000</f>
        <v>56.4</v>
      </c>
    </row>
    <row r="19" spans="1:7" ht="14.5" customHeight="1" x14ac:dyDescent="0.3">
      <c r="A19" s="92"/>
      <c r="B19" s="664" t="s">
        <v>580</v>
      </c>
      <c r="C19" s="10" t="s">
        <v>60</v>
      </c>
      <c r="D19" s="93">
        <f>143*30/1000</f>
        <v>4.29</v>
      </c>
      <c r="E19" s="93">
        <f>143*30/1000</f>
        <v>4.29</v>
      </c>
      <c r="F19" s="93">
        <f>143*50/1000</f>
        <v>7.15</v>
      </c>
      <c r="G19" s="94">
        <f>120*50/1000</f>
        <v>6</v>
      </c>
    </row>
    <row r="20" spans="1:7" ht="14.5" customHeight="1" x14ac:dyDescent="0.3">
      <c r="A20" s="92"/>
      <c r="B20" s="10"/>
      <c r="C20" s="10" t="s">
        <v>262</v>
      </c>
      <c r="D20" s="93">
        <v>0</v>
      </c>
      <c r="E20" s="93">
        <v>0</v>
      </c>
      <c r="F20" s="93">
        <f>110*50/1000*0.4</f>
        <v>2.2000000000000002</v>
      </c>
      <c r="G20" s="94">
        <f>110*50/1000*0.4</f>
        <v>2.2000000000000002</v>
      </c>
    </row>
    <row r="21" spans="1:7" ht="14.5" customHeight="1" x14ac:dyDescent="0.3">
      <c r="A21" s="92"/>
      <c r="B21" s="10"/>
      <c r="C21" s="10" t="s">
        <v>103</v>
      </c>
      <c r="D21" s="93">
        <f>50*30/1000</f>
        <v>1.5</v>
      </c>
      <c r="E21" s="93">
        <f>50*30/1000</f>
        <v>1.5</v>
      </c>
      <c r="F21" s="93">
        <f>50*50/1000</f>
        <v>2.5</v>
      </c>
      <c r="G21" s="94">
        <f>50*50/1000</f>
        <v>2.5</v>
      </c>
    </row>
    <row r="22" spans="1:7" ht="14.5" customHeight="1" x14ac:dyDescent="0.3">
      <c r="A22" s="11">
        <v>85</v>
      </c>
      <c r="B22" s="10" t="s">
        <v>478</v>
      </c>
      <c r="C22" s="10" t="s">
        <v>62</v>
      </c>
      <c r="D22" s="93">
        <f>50*150/1000</f>
        <v>7.5</v>
      </c>
      <c r="E22" s="93">
        <f>40*150/1000</f>
        <v>6</v>
      </c>
      <c r="F22" s="93">
        <f>50*180/1000</f>
        <v>9</v>
      </c>
      <c r="G22" s="94">
        <f>40*180/1000</f>
        <v>7.2</v>
      </c>
    </row>
    <row r="23" spans="1:7" ht="14.5" customHeight="1" x14ac:dyDescent="0.3">
      <c r="A23" s="92" t="s">
        <v>133</v>
      </c>
      <c r="B23" s="665" t="s">
        <v>605</v>
      </c>
      <c r="C23" s="10" t="s">
        <v>163</v>
      </c>
      <c r="D23" s="93">
        <f>E23*1.33</f>
        <v>79.800000000000011</v>
      </c>
      <c r="E23" s="93">
        <f>400*150/1000</f>
        <v>60</v>
      </c>
      <c r="F23" s="93">
        <f>G23*1.33</f>
        <v>95.76</v>
      </c>
      <c r="G23" s="94">
        <f>400*180/1000</f>
        <v>72</v>
      </c>
    </row>
    <row r="24" spans="1:7" ht="14.5" customHeight="1" x14ac:dyDescent="0.3">
      <c r="A24" s="92"/>
      <c r="B24" s="10"/>
      <c r="C24" s="10" t="s">
        <v>164</v>
      </c>
      <c r="D24" s="93">
        <f>E24*1.43</f>
        <v>85.8</v>
      </c>
      <c r="E24" s="93">
        <f>400*150/1000</f>
        <v>60</v>
      </c>
      <c r="F24" s="93">
        <f>G24*1.43</f>
        <v>102.96</v>
      </c>
      <c r="G24" s="94">
        <f>400*180/1000</f>
        <v>72</v>
      </c>
    </row>
    <row r="25" spans="1:7" ht="14.5" customHeight="1" x14ac:dyDescent="0.3">
      <c r="A25" s="570"/>
      <c r="B25" s="571"/>
      <c r="C25" s="10" t="s">
        <v>165</v>
      </c>
      <c r="D25" s="93">
        <f>E25*1.54</f>
        <v>92.4</v>
      </c>
      <c r="E25" s="93">
        <f>400*150/1000</f>
        <v>60</v>
      </c>
      <c r="F25" s="93">
        <f>G25*1.54</f>
        <v>110.88</v>
      </c>
      <c r="G25" s="94">
        <f>400*180/1000</f>
        <v>72</v>
      </c>
    </row>
    <row r="26" spans="1:7" ht="14.5" customHeight="1" x14ac:dyDescent="0.3">
      <c r="A26" s="570">
        <v>120</v>
      </c>
      <c r="B26" s="571" t="s">
        <v>480</v>
      </c>
      <c r="C26" s="10" t="s">
        <v>166</v>
      </c>
      <c r="D26" s="670">
        <f>E26*1.67</f>
        <v>100.19999999999999</v>
      </c>
      <c r="E26" s="670">
        <f>400*150/1000</f>
        <v>60</v>
      </c>
      <c r="F26" s="670">
        <f>G26*1.67</f>
        <v>120.24</v>
      </c>
      <c r="G26" s="671">
        <f>400*180/1000</f>
        <v>72</v>
      </c>
    </row>
    <row r="27" spans="1:7" ht="14.5" customHeight="1" x14ac:dyDescent="0.3">
      <c r="A27" s="570"/>
      <c r="B27" s="571"/>
      <c r="C27" s="10" t="s">
        <v>63</v>
      </c>
      <c r="D27" s="670">
        <f>750*150/1000</f>
        <v>112.5</v>
      </c>
      <c r="E27" s="670">
        <f>750*150/1000</f>
        <v>112.5</v>
      </c>
      <c r="F27" s="670">
        <f>750*180/1000</f>
        <v>135</v>
      </c>
      <c r="G27" s="671">
        <f>750*180/1000</f>
        <v>135</v>
      </c>
    </row>
    <row r="28" spans="1:7" ht="14.5" customHeight="1" x14ac:dyDescent="0.3">
      <c r="A28" s="92"/>
      <c r="B28" s="10" t="s">
        <v>560</v>
      </c>
      <c r="C28" s="10" t="s">
        <v>60</v>
      </c>
      <c r="D28" s="670">
        <f>48*150/1000</f>
        <v>7.2</v>
      </c>
      <c r="E28" s="670">
        <f>40*150/1000</f>
        <v>6</v>
      </c>
      <c r="F28" s="670">
        <f>48*180/1000</f>
        <v>8.64</v>
      </c>
      <c r="G28" s="671">
        <f>40*180/1000</f>
        <v>7.2</v>
      </c>
    </row>
    <row r="29" spans="1:7" ht="14.5" customHeight="1" x14ac:dyDescent="0.35">
      <c r="A29" s="572"/>
      <c r="B29" s="573"/>
      <c r="C29" s="574" t="s">
        <v>479</v>
      </c>
      <c r="D29" s="64">
        <v>20</v>
      </c>
      <c r="E29" s="64">
        <v>20</v>
      </c>
      <c r="F29" s="575">
        <f>100*200/1000</f>
        <v>20</v>
      </c>
      <c r="G29" s="575">
        <f>100*200/1000</f>
        <v>20</v>
      </c>
    </row>
    <row r="30" spans="1:7" ht="14.5" customHeight="1" x14ac:dyDescent="0.35">
      <c r="A30" s="572"/>
      <c r="B30" s="573"/>
      <c r="C30" s="10" t="s">
        <v>103</v>
      </c>
      <c r="D30" s="93">
        <f>10*180/1000</f>
        <v>1.8</v>
      </c>
      <c r="E30" s="93">
        <f>10*180/1000</f>
        <v>1.8</v>
      </c>
      <c r="F30" s="93">
        <f>10*200/1000</f>
        <v>2</v>
      </c>
      <c r="G30" s="93">
        <f>10*200/1000</f>
        <v>2</v>
      </c>
    </row>
    <row r="31" spans="1:7" ht="14.5" customHeight="1" x14ac:dyDescent="0.35">
      <c r="A31" s="572"/>
      <c r="B31" s="573"/>
      <c r="C31" s="10" t="s">
        <v>109</v>
      </c>
      <c r="D31" s="93">
        <f>308*D29/1000</f>
        <v>6.16</v>
      </c>
      <c r="E31" s="93">
        <f>308*E29/1000</f>
        <v>6.16</v>
      </c>
      <c r="F31" s="93">
        <f>308*F29/1000</f>
        <v>6.16</v>
      </c>
      <c r="G31" s="94">
        <f>308*G29/1000</f>
        <v>6.16</v>
      </c>
    </row>
    <row r="32" spans="1:7" ht="14.5" customHeight="1" x14ac:dyDescent="0.35">
      <c r="A32" s="572"/>
      <c r="B32" s="573"/>
      <c r="C32" s="10" t="s">
        <v>136</v>
      </c>
      <c r="D32" s="93">
        <f>35*D29/1000</f>
        <v>0.7</v>
      </c>
      <c r="E32" s="93">
        <f>35*E29/1000</f>
        <v>0.7</v>
      </c>
      <c r="F32" s="93">
        <f>35*F29/1000</f>
        <v>0.7</v>
      </c>
      <c r="G32" s="94">
        <f>35*G29/1000</f>
        <v>0.7</v>
      </c>
    </row>
    <row r="33" spans="1:7" ht="14.5" customHeight="1" x14ac:dyDescent="0.35">
      <c r="A33" s="572"/>
      <c r="B33" s="573"/>
      <c r="C33" s="10" t="s">
        <v>121</v>
      </c>
      <c r="D33" s="93">
        <f>88*D29/1000</f>
        <v>1.76</v>
      </c>
      <c r="E33" s="93">
        <f>88*E29/1000</f>
        <v>1.76</v>
      </c>
      <c r="F33" s="93">
        <f>88*F29/1000</f>
        <v>1.76</v>
      </c>
      <c r="G33" s="94">
        <f>88*G29/1000</f>
        <v>1.76</v>
      </c>
    </row>
    <row r="34" spans="1:7" ht="14.5" customHeight="1" x14ac:dyDescent="0.35">
      <c r="A34" s="572"/>
      <c r="B34" s="573"/>
      <c r="C34" s="10" t="s">
        <v>481</v>
      </c>
      <c r="D34" s="93">
        <f>483*D29/1000</f>
        <v>9.66</v>
      </c>
      <c r="E34" s="93">
        <f>483*E29/1000</f>
        <v>9.66</v>
      </c>
      <c r="F34" s="93">
        <f>483*F29/1000</f>
        <v>9.66</v>
      </c>
      <c r="G34" s="94">
        <f>483*G29/1000</f>
        <v>9.66</v>
      </c>
    </row>
    <row r="35" spans="1:7" ht="14.5" customHeight="1" x14ac:dyDescent="0.35">
      <c r="A35" s="572"/>
      <c r="B35" s="573"/>
      <c r="C35" s="10" t="s">
        <v>56</v>
      </c>
      <c r="D35" s="93">
        <f>9*D29/1000</f>
        <v>0.18</v>
      </c>
      <c r="E35" s="93">
        <f>9*E29/1000</f>
        <v>0.18</v>
      </c>
      <c r="F35" s="93">
        <f>9*F29/1000</f>
        <v>0.18</v>
      </c>
      <c r="G35" s="94">
        <f>9*G29/1000</f>
        <v>0.18</v>
      </c>
    </row>
    <row r="36" spans="1:7" ht="14.5" customHeight="1" x14ac:dyDescent="0.35">
      <c r="A36" s="572"/>
      <c r="B36" s="573"/>
      <c r="C36" s="574" t="s">
        <v>482</v>
      </c>
      <c r="D36" s="64">
        <f>900*D29/1000</f>
        <v>18</v>
      </c>
      <c r="E36" s="64">
        <f>900*E29/1000</f>
        <v>18</v>
      </c>
      <c r="F36" s="64">
        <f>900*F29/1000</f>
        <v>18</v>
      </c>
      <c r="G36" s="575">
        <f>900*G29/1000</f>
        <v>18</v>
      </c>
    </row>
    <row r="37" spans="1:7" ht="14.5" customHeight="1" x14ac:dyDescent="0.3">
      <c r="A37" s="92"/>
      <c r="B37" s="10"/>
      <c r="C37" s="148"/>
      <c r="D37" s="93"/>
      <c r="E37" s="93"/>
      <c r="F37" s="93"/>
      <c r="G37" s="94"/>
    </row>
    <row r="38" spans="1:7" ht="14.5" customHeight="1" x14ac:dyDescent="0.3">
      <c r="A38" s="536" t="s">
        <v>350</v>
      </c>
      <c r="B38" s="10" t="s">
        <v>322</v>
      </c>
      <c r="C38" s="10" t="s">
        <v>73</v>
      </c>
      <c r="D38" s="93">
        <f>E38*1.095</f>
        <v>88.694999999999993</v>
      </c>
      <c r="E38" s="93">
        <v>81</v>
      </c>
      <c r="F38" s="93">
        <f>G38*1.095</f>
        <v>88.694999999999993</v>
      </c>
      <c r="G38" s="94">
        <v>81</v>
      </c>
    </row>
    <row r="39" spans="1:7" ht="14.5" customHeight="1" x14ac:dyDescent="0.3">
      <c r="A39" s="92"/>
      <c r="B39" s="665" t="s">
        <v>437</v>
      </c>
      <c r="C39" s="10" t="s">
        <v>61</v>
      </c>
      <c r="D39" s="670">
        <f>10*110/200</f>
        <v>5.5</v>
      </c>
      <c r="E39" s="670">
        <f>10*110/200</f>
        <v>5.5</v>
      </c>
      <c r="F39" s="670">
        <f>10*110/200</f>
        <v>5.5</v>
      </c>
      <c r="G39" s="671">
        <f>10*110/200</f>
        <v>5.5</v>
      </c>
    </row>
    <row r="40" spans="1:7" ht="14.5" customHeight="1" x14ac:dyDescent="0.3">
      <c r="A40" s="92"/>
      <c r="B40" s="10"/>
      <c r="C40" s="10" t="s">
        <v>62</v>
      </c>
      <c r="D40" s="670">
        <f>31*110/200</f>
        <v>17.05</v>
      </c>
      <c r="E40" s="670">
        <f>25*110/200</f>
        <v>13.75</v>
      </c>
      <c r="F40" s="670">
        <f>31*110/200</f>
        <v>17.05</v>
      </c>
      <c r="G40" s="671">
        <f>25*110/200</f>
        <v>13.75</v>
      </c>
    </row>
    <row r="41" spans="1:7" ht="14.5" customHeight="1" x14ac:dyDescent="0.3">
      <c r="A41" s="92"/>
      <c r="B41" s="10"/>
      <c r="C41" s="10" t="s">
        <v>483</v>
      </c>
      <c r="D41" s="670">
        <f>68*110/200</f>
        <v>37.4</v>
      </c>
      <c r="E41" s="670">
        <f>68*110/200</f>
        <v>37.4</v>
      </c>
      <c r="F41" s="670">
        <f>68*110/200</f>
        <v>37.4</v>
      </c>
      <c r="G41" s="671">
        <f>68*110/200</f>
        <v>37.4</v>
      </c>
    </row>
    <row r="42" spans="1:7" ht="14.5" customHeight="1" x14ac:dyDescent="0.3">
      <c r="A42" s="92"/>
      <c r="B42" s="10"/>
      <c r="C42" s="10" t="s">
        <v>60</v>
      </c>
      <c r="D42" s="670">
        <f>12*110/200</f>
        <v>6.6</v>
      </c>
      <c r="E42" s="670">
        <f>10*110/200</f>
        <v>5.5</v>
      </c>
      <c r="F42" s="670">
        <f>12*110/200</f>
        <v>6.6</v>
      </c>
      <c r="G42" s="671">
        <f>10*110/200</f>
        <v>5.5</v>
      </c>
    </row>
    <row r="43" spans="1:7" ht="14.5" customHeight="1" x14ac:dyDescent="0.3">
      <c r="A43" s="11">
        <v>376</v>
      </c>
      <c r="B43" s="10" t="s">
        <v>345</v>
      </c>
      <c r="C43" s="10" t="s">
        <v>68</v>
      </c>
      <c r="D43" s="93">
        <f>100*150/1000</f>
        <v>15</v>
      </c>
      <c r="E43" s="93">
        <f>100*150/1000</f>
        <v>15</v>
      </c>
      <c r="F43" s="93">
        <f>100*180/1000</f>
        <v>18</v>
      </c>
      <c r="G43" s="94">
        <f>100*180/1000</f>
        <v>18</v>
      </c>
    </row>
    <row r="44" spans="1:7" ht="14.5" customHeight="1" x14ac:dyDescent="0.3">
      <c r="A44" s="92"/>
      <c r="B44" s="10" t="s">
        <v>59</v>
      </c>
      <c r="C44" s="10" t="s">
        <v>55</v>
      </c>
      <c r="D44" s="93">
        <f>55*150/1000</f>
        <v>8.25</v>
      </c>
      <c r="E44" s="93">
        <f>55*150/1000</f>
        <v>8.25</v>
      </c>
      <c r="F44" s="93">
        <f>55*180/1000</f>
        <v>9.9</v>
      </c>
      <c r="G44" s="94">
        <f>55*180/1000</f>
        <v>9.9</v>
      </c>
    </row>
    <row r="45" spans="1:7" ht="14.5" customHeight="1" x14ac:dyDescent="0.3">
      <c r="A45" s="92"/>
      <c r="B45" s="10" t="s">
        <v>72</v>
      </c>
      <c r="C45" s="10" t="s">
        <v>48</v>
      </c>
      <c r="D45" s="93">
        <v>20</v>
      </c>
      <c r="E45" s="93">
        <v>20</v>
      </c>
      <c r="F45" s="93">
        <v>25</v>
      </c>
      <c r="G45" s="94">
        <v>25</v>
      </c>
    </row>
    <row r="46" spans="1:7" ht="14.5" customHeight="1" thickBot="1" x14ac:dyDescent="0.35">
      <c r="A46" s="28"/>
      <c r="B46" s="12" t="s">
        <v>17</v>
      </c>
      <c r="C46" s="12" t="s">
        <v>139</v>
      </c>
      <c r="D46" s="63">
        <v>17</v>
      </c>
      <c r="E46" s="63">
        <v>17</v>
      </c>
      <c r="F46" s="63">
        <v>21</v>
      </c>
      <c r="G46" s="184">
        <v>21</v>
      </c>
    </row>
    <row r="47" spans="1:7" ht="14.5" customHeight="1" x14ac:dyDescent="0.3">
      <c r="A47" s="509">
        <v>218</v>
      </c>
      <c r="B47" s="16" t="s">
        <v>473</v>
      </c>
      <c r="C47" s="16" t="s">
        <v>163</v>
      </c>
      <c r="D47" s="568">
        <f>E47*1.33</f>
        <v>31.92</v>
      </c>
      <c r="E47" s="568">
        <v>24</v>
      </c>
      <c r="F47" s="568">
        <v>42.6</v>
      </c>
      <c r="G47" s="568">
        <v>32</v>
      </c>
    </row>
    <row r="48" spans="1:7" ht="14.5" customHeight="1" x14ac:dyDescent="0.3">
      <c r="A48" s="92"/>
      <c r="B48" s="10"/>
      <c r="C48" s="10" t="s">
        <v>164</v>
      </c>
      <c r="D48" s="93">
        <f>E48*1.43</f>
        <v>34.32</v>
      </c>
      <c r="E48" s="93">
        <v>24</v>
      </c>
      <c r="F48" s="93">
        <v>45.8</v>
      </c>
      <c r="G48" s="93">
        <v>32</v>
      </c>
    </row>
    <row r="49" spans="1:16" ht="14.5" customHeight="1" x14ac:dyDescent="0.3">
      <c r="A49" s="92"/>
      <c r="B49" s="10" t="s">
        <v>621</v>
      </c>
      <c r="C49" s="10" t="s">
        <v>165</v>
      </c>
      <c r="D49" s="93">
        <f>E49*1.54</f>
        <v>36.96</v>
      </c>
      <c r="E49" s="93">
        <v>24</v>
      </c>
      <c r="F49" s="93">
        <v>49.3</v>
      </c>
      <c r="G49" s="93">
        <v>32</v>
      </c>
    </row>
    <row r="50" spans="1:16" ht="14.5" customHeight="1" x14ac:dyDescent="0.3">
      <c r="A50" s="92"/>
      <c r="B50" s="10"/>
      <c r="C50" s="10" t="s">
        <v>166</v>
      </c>
      <c r="D50" s="93">
        <f>E50*1.67</f>
        <v>40.08</v>
      </c>
      <c r="E50" s="93">
        <v>24</v>
      </c>
      <c r="F50" s="93">
        <v>53.4</v>
      </c>
      <c r="G50" s="93">
        <v>32</v>
      </c>
    </row>
    <row r="51" spans="1:16" ht="14.5" customHeight="1" x14ac:dyDescent="0.3">
      <c r="A51" s="92"/>
      <c r="B51" s="10"/>
      <c r="C51" s="10" t="s">
        <v>94</v>
      </c>
      <c r="D51" s="93">
        <v>30</v>
      </c>
      <c r="E51" s="93">
        <v>30</v>
      </c>
      <c r="F51" s="93">
        <v>40</v>
      </c>
      <c r="G51" s="93">
        <v>40</v>
      </c>
    </row>
    <row r="52" spans="1:16" ht="14.5" customHeight="1" x14ac:dyDescent="0.3">
      <c r="A52" s="92" t="s">
        <v>4</v>
      </c>
      <c r="B52" s="10"/>
      <c r="C52" s="10" t="s">
        <v>51</v>
      </c>
      <c r="D52" s="93">
        <v>10</v>
      </c>
      <c r="E52" s="93">
        <v>10</v>
      </c>
      <c r="F52" s="93">
        <v>14</v>
      </c>
      <c r="G52" s="93">
        <v>14</v>
      </c>
    </row>
    <row r="53" spans="1:16" ht="14.5" customHeight="1" x14ac:dyDescent="0.3">
      <c r="A53" s="92"/>
      <c r="B53" s="10"/>
      <c r="C53" s="10" t="s">
        <v>484</v>
      </c>
      <c r="D53" s="93"/>
      <c r="E53" s="576">
        <v>64</v>
      </c>
      <c r="F53" s="93"/>
      <c r="G53" s="576">
        <v>86</v>
      </c>
    </row>
    <row r="54" spans="1:16" ht="14.5" customHeight="1" x14ac:dyDescent="0.3">
      <c r="A54" s="92"/>
      <c r="B54" s="10"/>
      <c r="C54" s="10" t="s">
        <v>136</v>
      </c>
      <c r="D54" s="93">
        <v>3</v>
      </c>
      <c r="E54" s="93">
        <v>3</v>
      </c>
      <c r="F54" s="93">
        <v>4</v>
      </c>
      <c r="G54" s="93">
        <v>4</v>
      </c>
    </row>
    <row r="55" spans="1:16" ht="14.5" customHeight="1" x14ac:dyDescent="0.3">
      <c r="A55" s="92"/>
      <c r="B55" s="10"/>
      <c r="C55" s="10"/>
      <c r="D55" s="93"/>
      <c r="E55" s="93"/>
      <c r="F55" s="93"/>
      <c r="G55" s="93"/>
    </row>
    <row r="56" spans="1:16" ht="14.5" customHeight="1" x14ac:dyDescent="0.3">
      <c r="A56" s="92">
        <v>493</v>
      </c>
      <c r="B56" s="10" t="s">
        <v>381</v>
      </c>
      <c r="C56" s="10" t="s">
        <v>490</v>
      </c>
      <c r="D56" s="93">
        <v>50</v>
      </c>
      <c r="E56" s="93">
        <v>50</v>
      </c>
      <c r="F56" s="93">
        <v>50</v>
      </c>
      <c r="G56" s="94">
        <v>50</v>
      </c>
    </row>
    <row r="57" spans="1:16" ht="14.5" customHeight="1" x14ac:dyDescent="0.3">
      <c r="A57" s="92"/>
      <c r="B57" s="10" t="s">
        <v>17</v>
      </c>
      <c r="C57" s="10" t="s">
        <v>52</v>
      </c>
      <c r="D57" s="93">
        <v>17</v>
      </c>
      <c r="E57" s="93">
        <v>17</v>
      </c>
      <c r="F57" s="93">
        <v>21</v>
      </c>
      <c r="G57" s="94">
        <v>21</v>
      </c>
    </row>
    <row r="58" spans="1:16" ht="14.5" customHeight="1" thickBot="1" x14ac:dyDescent="0.35">
      <c r="A58" s="577">
        <v>394</v>
      </c>
      <c r="B58" s="12" t="s">
        <v>620</v>
      </c>
      <c r="C58" s="12" t="s">
        <v>293</v>
      </c>
      <c r="D58" s="63">
        <v>0.2</v>
      </c>
      <c r="E58" s="63">
        <v>0.2</v>
      </c>
      <c r="F58" s="63">
        <v>0.3</v>
      </c>
      <c r="G58" s="184">
        <v>0.3</v>
      </c>
    </row>
    <row r="59" spans="1:16" ht="14.5" customHeight="1" thickBot="1" x14ac:dyDescent="0.35">
      <c r="A59" s="111"/>
      <c r="B59" s="578"/>
      <c r="C59" s="22" t="s">
        <v>51</v>
      </c>
      <c r="D59" s="579">
        <v>92</v>
      </c>
      <c r="E59" s="579">
        <v>92</v>
      </c>
      <c r="F59" s="579">
        <v>92</v>
      </c>
      <c r="G59" s="580">
        <v>92</v>
      </c>
      <c r="H59" s="183"/>
    </row>
    <row r="60" spans="1:16" ht="14.5" customHeight="1" thickBot="1" x14ac:dyDescent="0.35">
      <c r="A60" s="111"/>
      <c r="B60" s="578"/>
      <c r="C60" s="22" t="s">
        <v>55</v>
      </c>
      <c r="D60" s="579">
        <v>7</v>
      </c>
      <c r="E60" s="579">
        <v>7</v>
      </c>
      <c r="F60" s="579">
        <v>10</v>
      </c>
      <c r="G60" s="580">
        <v>10</v>
      </c>
    </row>
    <row r="61" spans="1:16" ht="8.5" customHeight="1" thickBot="1" x14ac:dyDescent="0.35">
      <c r="A61" s="111"/>
      <c r="B61" s="578"/>
      <c r="C61" s="22"/>
      <c r="D61" s="579"/>
      <c r="E61" s="579"/>
      <c r="F61" s="579"/>
      <c r="G61" s="580"/>
    </row>
    <row r="62" spans="1:16" s="66" customFormat="1" ht="12" customHeight="1" thickBot="1" x14ac:dyDescent="0.35">
      <c r="A62" s="157"/>
      <c r="B62" s="881" t="s">
        <v>581</v>
      </c>
      <c r="C62" s="158"/>
      <c r="D62" s="877" t="s">
        <v>69</v>
      </c>
      <c r="E62" s="874"/>
      <c r="F62" s="877" t="s">
        <v>70</v>
      </c>
      <c r="G62" s="874"/>
      <c r="H62" s="180"/>
      <c r="I62" s="180"/>
      <c r="J62" s="180"/>
      <c r="K62" s="180"/>
      <c r="L62" s="180"/>
      <c r="M62" s="180"/>
      <c r="N62" s="180"/>
      <c r="O62" s="180"/>
      <c r="P62" s="180"/>
    </row>
    <row r="63" spans="1:16" ht="12" customHeight="1" thickBot="1" x14ac:dyDescent="0.35">
      <c r="A63" s="159" t="s">
        <v>131</v>
      </c>
      <c r="B63" s="882"/>
      <c r="C63" s="160"/>
      <c r="D63" s="161" t="s">
        <v>91</v>
      </c>
      <c r="E63" s="162" t="s">
        <v>46</v>
      </c>
      <c r="F63" s="161" t="s">
        <v>91</v>
      </c>
      <c r="G63" s="162" t="s">
        <v>46</v>
      </c>
    </row>
    <row r="64" spans="1:16" s="66" customFormat="1" ht="9.25" customHeight="1" x14ac:dyDescent="0.3">
      <c r="A64" s="509">
        <v>235</v>
      </c>
      <c r="B64" s="16" t="s">
        <v>219</v>
      </c>
      <c r="C64" s="16" t="s">
        <v>92</v>
      </c>
      <c r="D64" s="568">
        <f>38*90/50</f>
        <v>68.400000000000006</v>
      </c>
      <c r="E64" s="568">
        <f>37.5*90/50</f>
        <v>67.5</v>
      </c>
      <c r="F64" s="568">
        <v>76</v>
      </c>
      <c r="G64" s="569">
        <v>75</v>
      </c>
      <c r="H64" s="180"/>
      <c r="I64" s="180"/>
      <c r="J64" s="180"/>
      <c r="K64" s="180"/>
      <c r="L64" s="180"/>
      <c r="M64" s="180"/>
      <c r="N64" s="180"/>
      <c r="O64" s="180"/>
      <c r="P64" s="180"/>
    </row>
    <row r="65" spans="1:16" s="87" customFormat="1" ht="9.25" customHeight="1" x14ac:dyDescent="0.3">
      <c r="A65" s="92" t="s">
        <v>133</v>
      </c>
      <c r="B65" s="10" t="s">
        <v>574</v>
      </c>
      <c r="C65" s="10" t="s">
        <v>93</v>
      </c>
      <c r="D65" s="93">
        <f>4*90/50</f>
        <v>7.2</v>
      </c>
      <c r="E65" s="93">
        <f>4*90/50</f>
        <v>7.2</v>
      </c>
      <c r="F65" s="93">
        <v>8</v>
      </c>
      <c r="G65" s="94">
        <v>8</v>
      </c>
      <c r="H65" s="181"/>
      <c r="I65" s="181"/>
      <c r="J65" s="181"/>
      <c r="K65" s="181"/>
      <c r="L65" s="181"/>
      <c r="M65" s="181"/>
      <c r="N65" s="181"/>
      <c r="O65" s="181"/>
      <c r="P65" s="181"/>
    </row>
    <row r="66" spans="1:16" s="87" customFormat="1" ht="9.25" customHeight="1" x14ac:dyDescent="0.3">
      <c r="A66" s="92"/>
      <c r="B66" s="10"/>
      <c r="C66" s="10" t="s">
        <v>55</v>
      </c>
      <c r="D66" s="93">
        <f>4*90/50</f>
        <v>7.2</v>
      </c>
      <c r="E66" s="93">
        <f>4*90/50</f>
        <v>7.2</v>
      </c>
      <c r="F66" s="93">
        <v>8</v>
      </c>
      <c r="G66" s="94">
        <v>8</v>
      </c>
      <c r="H66" s="181"/>
      <c r="I66" s="181"/>
      <c r="J66" s="181"/>
      <c r="K66" s="181"/>
      <c r="L66" s="181"/>
      <c r="M66" s="181"/>
      <c r="N66" s="181"/>
      <c r="O66" s="181"/>
      <c r="P66" s="181"/>
    </row>
    <row r="67" spans="1:16" s="87" customFormat="1" ht="9.25" customHeight="1" x14ac:dyDescent="0.3">
      <c r="A67" s="92"/>
      <c r="B67" s="10"/>
      <c r="C67" s="10" t="s">
        <v>94</v>
      </c>
      <c r="D67" s="93">
        <f>2.5*90/50</f>
        <v>4.5</v>
      </c>
      <c r="E67" s="93">
        <f>2.5*90/50</f>
        <v>4.5</v>
      </c>
      <c r="F67" s="93">
        <v>5</v>
      </c>
      <c r="G67" s="93">
        <v>5</v>
      </c>
      <c r="H67" s="181"/>
      <c r="I67" s="181"/>
      <c r="J67" s="181"/>
      <c r="K67" s="181"/>
      <c r="L67" s="181"/>
      <c r="M67" s="181"/>
      <c r="N67" s="181"/>
      <c r="O67" s="181"/>
      <c r="P67" s="181"/>
    </row>
    <row r="68" spans="1:16" s="87" customFormat="1" ht="9.25" customHeight="1" x14ac:dyDescent="0.3">
      <c r="A68" s="92"/>
      <c r="B68" s="10"/>
      <c r="C68" s="10" t="s">
        <v>242</v>
      </c>
      <c r="D68" s="93">
        <f>5.1*90/50</f>
        <v>9.18</v>
      </c>
      <c r="E68" s="93">
        <f>5*90/50</f>
        <v>9</v>
      </c>
      <c r="F68" s="93">
        <v>10.199999999999999</v>
      </c>
      <c r="G68" s="94">
        <v>10</v>
      </c>
      <c r="H68" s="181"/>
      <c r="I68" s="181"/>
      <c r="J68" s="181"/>
      <c r="K68" s="181"/>
      <c r="L68" s="181"/>
      <c r="M68" s="181"/>
      <c r="N68" s="181"/>
      <c r="O68" s="181"/>
      <c r="P68" s="181"/>
    </row>
    <row r="69" spans="1:16" s="87" customFormat="1" ht="9.25" customHeight="1" x14ac:dyDescent="0.3">
      <c r="A69" s="92"/>
      <c r="B69" s="10"/>
      <c r="C69" s="10" t="s">
        <v>142</v>
      </c>
      <c r="D69" s="122">
        <f>0.01*90/50</f>
        <v>1.8000000000000002E-2</v>
      </c>
      <c r="E69" s="122">
        <f>0.01*90/50</f>
        <v>1.8000000000000002E-2</v>
      </c>
      <c r="F69" s="122">
        <f>0.01*90/50</f>
        <v>1.8000000000000002E-2</v>
      </c>
      <c r="G69" s="581">
        <f>0.01*90/50</f>
        <v>1.8000000000000002E-2</v>
      </c>
      <c r="H69" s="181"/>
      <c r="I69" s="181"/>
      <c r="J69" s="181"/>
      <c r="K69" s="181"/>
      <c r="L69" s="181"/>
      <c r="M69" s="181"/>
      <c r="N69" s="181"/>
      <c r="O69" s="181"/>
      <c r="P69" s="181"/>
    </row>
    <row r="70" spans="1:16" s="87" customFormat="1" ht="9.25" customHeight="1" x14ac:dyDescent="0.3">
      <c r="A70" s="92"/>
      <c r="B70" s="10"/>
      <c r="C70" s="10" t="s">
        <v>57</v>
      </c>
      <c r="D70" s="93">
        <f>2*90/50</f>
        <v>3.6</v>
      </c>
      <c r="E70" s="93">
        <f>2*90/50</f>
        <v>3.6</v>
      </c>
      <c r="F70" s="93">
        <v>4</v>
      </c>
      <c r="G70" s="94">
        <v>4</v>
      </c>
      <c r="H70" s="181"/>
      <c r="I70" s="181"/>
      <c r="J70" s="181"/>
      <c r="K70" s="181"/>
      <c r="L70" s="181"/>
      <c r="M70" s="181"/>
      <c r="N70" s="181"/>
      <c r="O70" s="181"/>
      <c r="P70" s="181"/>
    </row>
    <row r="71" spans="1:16" s="87" customFormat="1" ht="9.25" customHeight="1" x14ac:dyDescent="0.3">
      <c r="A71" s="92"/>
      <c r="B71" s="10"/>
      <c r="C71" s="10" t="s">
        <v>95</v>
      </c>
      <c r="D71" s="93">
        <f>E71*1.56</f>
        <v>5.6160000000000005</v>
      </c>
      <c r="E71" s="93">
        <f>2*90/50</f>
        <v>3.6</v>
      </c>
      <c r="F71" s="93">
        <f>G71*1.56</f>
        <v>6.24</v>
      </c>
      <c r="G71" s="94">
        <v>4</v>
      </c>
      <c r="H71" s="181"/>
      <c r="I71" s="181"/>
      <c r="J71" s="181"/>
      <c r="K71" s="181"/>
      <c r="L71" s="181"/>
      <c r="M71" s="181"/>
      <c r="N71" s="181"/>
      <c r="O71" s="181"/>
      <c r="P71" s="181"/>
    </row>
    <row r="72" spans="1:16" s="87" customFormat="1" ht="9.25" customHeight="1" x14ac:dyDescent="0.3">
      <c r="A72" s="92"/>
      <c r="B72" s="10"/>
      <c r="C72" s="10" t="s">
        <v>65</v>
      </c>
      <c r="D72" s="93">
        <f>2*90/50</f>
        <v>3.6</v>
      </c>
      <c r="E72" s="93">
        <f>2*90/50</f>
        <v>3.6</v>
      </c>
      <c r="F72" s="93">
        <v>4</v>
      </c>
      <c r="G72" s="94">
        <v>4</v>
      </c>
      <c r="H72" s="181"/>
      <c r="I72" s="181"/>
      <c r="J72" s="181"/>
      <c r="K72" s="181"/>
      <c r="L72" s="181"/>
      <c r="M72" s="181"/>
      <c r="N72" s="181"/>
      <c r="O72" s="181"/>
      <c r="P72" s="181"/>
    </row>
    <row r="73" spans="1:16" s="7" customFormat="1" ht="9.25" customHeight="1" x14ac:dyDescent="0.3">
      <c r="A73" s="92">
        <v>359</v>
      </c>
      <c r="B73" s="10" t="s">
        <v>485</v>
      </c>
      <c r="C73" s="10" t="s">
        <v>68</v>
      </c>
      <c r="D73" s="93">
        <f>110*30/1000</f>
        <v>3.3</v>
      </c>
      <c r="E73" s="93">
        <f>110*30/1000</f>
        <v>3.3</v>
      </c>
      <c r="F73" s="93">
        <f>110*30/1000</f>
        <v>3.3</v>
      </c>
      <c r="G73" s="94">
        <f>110*30/1000</f>
        <v>3.3</v>
      </c>
      <c r="H73" s="182"/>
      <c r="I73" s="182"/>
      <c r="J73" s="182"/>
      <c r="K73" s="182"/>
      <c r="L73" s="182"/>
      <c r="M73" s="182"/>
      <c r="N73" s="182"/>
      <c r="O73" s="182"/>
      <c r="P73" s="182"/>
    </row>
    <row r="74" spans="1:16" s="7" customFormat="1" ht="9.25" customHeight="1" x14ac:dyDescent="0.3">
      <c r="A74" s="92"/>
      <c r="B74" s="10"/>
      <c r="C74" s="10" t="s">
        <v>486</v>
      </c>
      <c r="D74" s="93">
        <f>400*30/1000</f>
        <v>12</v>
      </c>
      <c r="E74" s="93">
        <f>400*30/1000</f>
        <v>12</v>
      </c>
      <c r="F74" s="93">
        <f>400*30/1000</f>
        <v>12</v>
      </c>
      <c r="G74" s="94">
        <f>400*30/1000</f>
        <v>12</v>
      </c>
      <c r="H74" s="182"/>
      <c r="I74" s="182"/>
      <c r="J74" s="182"/>
      <c r="K74" s="182"/>
      <c r="L74" s="182"/>
      <c r="M74" s="182"/>
      <c r="N74" s="182"/>
      <c r="O74" s="182"/>
      <c r="P74" s="182"/>
    </row>
    <row r="75" spans="1:16" s="7" customFormat="1" ht="9.25" customHeight="1" x14ac:dyDescent="0.3">
      <c r="A75" s="92"/>
      <c r="B75" s="10"/>
      <c r="C75" s="10" t="s">
        <v>55</v>
      </c>
      <c r="D75" s="93">
        <f>600*30/1000</f>
        <v>18</v>
      </c>
      <c r="E75" s="93">
        <f>600*30/1000</f>
        <v>18</v>
      </c>
      <c r="F75" s="93">
        <f>600*30/1000</f>
        <v>18</v>
      </c>
      <c r="G75" s="93">
        <f>600*30/1000</f>
        <v>18</v>
      </c>
      <c r="H75" s="182"/>
      <c r="I75" s="182"/>
      <c r="J75" s="182"/>
      <c r="K75" s="182"/>
      <c r="L75" s="182"/>
      <c r="M75" s="182"/>
      <c r="N75" s="182"/>
      <c r="O75" s="182"/>
      <c r="P75" s="182"/>
    </row>
    <row r="76" spans="1:16" s="7" customFormat="1" ht="9.25" customHeight="1" x14ac:dyDescent="0.3">
      <c r="A76" s="139">
        <v>1</v>
      </c>
      <c r="B76" s="10" t="s">
        <v>283</v>
      </c>
      <c r="C76" s="10" t="s">
        <v>284</v>
      </c>
      <c r="D76" s="93">
        <v>24</v>
      </c>
      <c r="E76" s="93">
        <v>24</v>
      </c>
      <c r="F76" s="93">
        <v>30</v>
      </c>
      <c r="G76" s="94">
        <v>30</v>
      </c>
      <c r="H76" s="182"/>
      <c r="I76" s="182"/>
      <c r="J76" s="182"/>
      <c r="K76" s="182"/>
      <c r="L76" s="182"/>
      <c r="M76" s="182"/>
      <c r="N76" s="182"/>
      <c r="O76" s="182"/>
      <c r="P76" s="182"/>
    </row>
    <row r="77" spans="1:16" s="7" customFormat="1" ht="9.25" customHeight="1" x14ac:dyDescent="0.3">
      <c r="A77" s="139">
        <v>392</v>
      </c>
      <c r="B77" s="10" t="s">
        <v>50</v>
      </c>
      <c r="C77" s="10" t="s">
        <v>293</v>
      </c>
      <c r="D77" s="93">
        <v>0.2</v>
      </c>
      <c r="E77" s="93">
        <v>0.2</v>
      </c>
      <c r="F77" s="93">
        <v>0.3</v>
      </c>
      <c r="G77" s="94">
        <v>0.3</v>
      </c>
      <c r="H77" s="182"/>
      <c r="I77" s="182"/>
      <c r="J77" s="182"/>
      <c r="K77" s="182"/>
      <c r="L77" s="182"/>
      <c r="M77" s="182"/>
      <c r="N77" s="182"/>
      <c r="O77" s="182"/>
      <c r="P77" s="182"/>
    </row>
    <row r="78" spans="1:16" s="7" customFormat="1" ht="9.25" customHeight="1" x14ac:dyDescent="0.3">
      <c r="A78" s="92"/>
      <c r="B78" s="10" t="s">
        <v>59</v>
      </c>
      <c r="C78" s="10" t="s">
        <v>55</v>
      </c>
      <c r="D78" s="93">
        <v>7</v>
      </c>
      <c r="E78" s="93">
        <v>7</v>
      </c>
      <c r="F78" s="93">
        <v>10</v>
      </c>
      <c r="G78" s="94">
        <v>10</v>
      </c>
      <c r="H78" s="182"/>
      <c r="I78" s="182"/>
      <c r="J78" s="182"/>
      <c r="K78" s="182"/>
      <c r="L78" s="182"/>
      <c r="M78" s="182"/>
      <c r="N78" s="182"/>
      <c r="O78" s="182"/>
      <c r="P78" s="182"/>
    </row>
    <row r="79" spans="1:16" s="7" customFormat="1" ht="9.25" customHeight="1" x14ac:dyDescent="0.3">
      <c r="A79" s="92"/>
      <c r="B79" s="10"/>
      <c r="C79" s="10" t="s">
        <v>114</v>
      </c>
      <c r="D79" s="93">
        <v>92</v>
      </c>
      <c r="E79" s="93">
        <v>92</v>
      </c>
      <c r="F79" s="93">
        <v>92</v>
      </c>
      <c r="G79" s="94">
        <v>92</v>
      </c>
      <c r="H79" s="182"/>
      <c r="I79" s="182"/>
      <c r="J79" s="182"/>
      <c r="K79" s="182"/>
      <c r="L79" s="182"/>
      <c r="M79" s="182"/>
      <c r="N79" s="182"/>
      <c r="O79" s="182"/>
      <c r="P79" s="182"/>
    </row>
    <row r="80" spans="1:16" s="7" customFormat="1" ht="9.25" customHeight="1" x14ac:dyDescent="0.3">
      <c r="A80" s="92"/>
      <c r="B80" s="10"/>
      <c r="C80" s="10" t="s">
        <v>135</v>
      </c>
      <c r="D80" s="93">
        <f>D79*0.12</f>
        <v>11.04</v>
      </c>
      <c r="E80" s="93">
        <f>E79*0.12</f>
        <v>11.04</v>
      </c>
      <c r="F80" s="93">
        <f>F79*0.12</f>
        <v>11.04</v>
      </c>
      <c r="G80" s="94">
        <f>G79*0.12</f>
        <v>11.04</v>
      </c>
      <c r="H80" s="182"/>
      <c r="I80" s="182"/>
      <c r="J80" s="182"/>
      <c r="K80" s="182"/>
      <c r="L80" s="182"/>
      <c r="M80" s="182"/>
      <c r="N80" s="182"/>
      <c r="O80" s="182"/>
      <c r="P80" s="182"/>
    </row>
    <row r="81" spans="1:16" s="7" customFormat="1" ht="9.25" customHeight="1" thickBot="1" x14ac:dyDescent="0.35">
      <c r="A81" s="28"/>
      <c r="B81" s="12"/>
      <c r="C81" s="12" t="s">
        <v>54</v>
      </c>
      <c r="D81" s="63">
        <v>40</v>
      </c>
      <c r="E81" s="63">
        <v>40</v>
      </c>
      <c r="F81" s="63">
        <v>60</v>
      </c>
      <c r="G81" s="184">
        <v>60</v>
      </c>
      <c r="H81" s="182"/>
      <c r="I81" s="182"/>
      <c r="J81" s="182"/>
      <c r="K81" s="182"/>
      <c r="L81" s="182"/>
      <c r="M81" s="182"/>
      <c r="N81" s="182"/>
      <c r="O81" s="182"/>
      <c r="P81" s="182"/>
    </row>
    <row r="82" spans="1:16" s="7" customFormat="1" ht="14.5" customHeight="1" thickBot="1" x14ac:dyDescent="0.35">
      <c r="A82" s="527">
        <v>401</v>
      </c>
      <c r="B82" s="185" t="s">
        <v>156</v>
      </c>
      <c r="C82" s="185" t="s">
        <v>156</v>
      </c>
      <c r="D82" s="674">
        <v>155</v>
      </c>
      <c r="E82" s="674">
        <v>150</v>
      </c>
      <c r="F82" s="582">
        <v>185</v>
      </c>
      <c r="G82" s="583">
        <v>180</v>
      </c>
      <c r="H82" s="182"/>
      <c r="I82" s="182"/>
      <c r="J82" s="182"/>
      <c r="K82" s="182"/>
      <c r="L82" s="182"/>
      <c r="M82" s="182"/>
      <c r="N82" s="182"/>
      <c r="O82" s="182"/>
      <c r="P82" s="182"/>
    </row>
    <row r="83" spans="1:16" s="7" customFormat="1" ht="9.25" customHeight="1" x14ac:dyDescent="0.3">
      <c r="A83" s="584">
        <v>14</v>
      </c>
      <c r="B83" s="16" t="s">
        <v>312</v>
      </c>
      <c r="C83" s="16" t="s">
        <v>285</v>
      </c>
      <c r="D83" s="660">
        <f>847*30/1000</f>
        <v>25.41</v>
      </c>
      <c r="E83" s="660">
        <f>720*30/1000</f>
        <v>21.6</v>
      </c>
      <c r="F83" s="660">
        <f>847*50/1000</f>
        <v>42.35</v>
      </c>
      <c r="G83" s="661">
        <f>720*50/1000</f>
        <v>36</v>
      </c>
      <c r="H83" s="182"/>
      <c r="I83" s="182"/>
      <c r="J83" s="182"/>
      <c r="K83" s="182"/>
      <c r="L83" s="182"/>
      <c r="M83" s="182"/>
      <c r="N83" s="182"/>
      <c r="O83" s="182"/>
      <c r="P83" s="182"/>
    </row>
    <row r="84" spans="1:16" s="7" customFormat="1" ht="13.15" customHeight="1" x14ac:dyDescent="0.3">
      <c r="A84" s="92"/>
      <c r="B84" s="665" t="s">
        <v>580</v>
      </c>
      <c r="C84" s="10" t="s">
        <v>103</v>
      </c>
      <c r="D84" s="662">
        <f>60*30/1000</f>
        <v>1.8</v>
      </c>
      <c r="E84" s="662">
        <f>60*30/1000</f>
        <v>1.8</v>
      </c>
      <c r="F84" s="662">
        <f>60*50/1000</f>
        <v>3</v>
      </c>
      <c r="G84" s="663">
        <f>60*50/1000</f>
        <v>3</v>
      </c>
      <c r="H84" s="182"/>
      <c r="I84" s="182"/>
      <c r="J84" s="182"/>
      <c r="K84" s="182"/>
      <c r="L84" s="182"/>
      <c r="M84" s="182"/>
      <c r="N84" s="182"/>
      <c r="O84" s="182"/>
      <c r="P84" s="182"/>
    </row>
    <row r="85" spans="1:16" s="7" customFormat="1" ht="9.25" customHeight="1" x14ac:dyDescent="0.3">
      <c r="A85" s="92"/>
      <c r="B85" s="10"/>
      <c r="C85" s="10" t="s">
        <v>60</v>
      </c>
      <c r="D85" s="662">
        <f>288*30/1000</f>
        <v>8.64</v>
      </c>
      <c r="E85" s="662">
        <f>242*30/1000</f>
        <v>7.26</v>
      </c>
      <c r="F85" s="662">
        <f>288*50/1000</f>
        <v>14.4</v>
      </c>
      <c r="G85" s="663">
        <f>242*50/1000</f>
        <v>12.1</v>
      </c>
      <c r="H85" s="182"/>
      <c r="I85" s="182"/>
      <c r="J85" s="182"/>
      <c r="K85" s="182"/>
      <c r="L85" s="182"/>
      <c r="M85" s="182"/>
      <c r="N85" s="182"/>
      <c r="O85" s="182"/>
      <c r="P85" s="182"/>
    </row>
    <row r="86" spans="1:16" s="7" customFormat="1" ht="9.25" customHeight="1" x14ac:dyDescent="0.3">
      <c r="A86" s="92"/>
      <c r="B86" s="10"/>
      <c r="C86" s="123" t="s">
        <v>487</v>
      </c>
      <c r="D86" s="675"/>
      <c r="E86" s="675">
        <f>230*30/1000</f>
        <v>6.9</v>
      </c>
      <c r="F86" s="675"/>
      <c r="G86" s="676">
        <f>230*50/1000</f>
        <v>11.5</v>
      </c>
      <c r="H86" s="182"/>
      <c r="I86" s="182"/>
      <c r="J86" s="182"/>
      <c r="K86" s="182"/>
      <c r="L86" s="182"/>
      <c r="M86" s="182"/>
      <c r="N86" s="182"/>
      <c r="O86" s="182"/>
      <c r="P86" s="182"/>
    </row>
    <row r="87" spans="1:16" s="7" customFormat="1" ht="9.25" customHeight="1" x14ac:dyDescent="0.3">
      <c r="A87" s="92"/>
      <c r="B87" s="10"/>
      <c r="C87" s="10" t="s">
        <v>337</v>
      </c>
      <c r="D87" s="662">
        <f>288*30/1000</f>
        <v>8.64</v>
      </c>
      <c r="E87" s="662">
        <f>230*30/1000</f>
        <v>6.9</v>
      </c>
      <c r="F87" s="662">
        <f>288*50/1000</f>
        <v>14.4</v>
      </c>
      <c r="G87" s="663">
        <f>230*50/1000</f>
        <v>11.5</v>
      </c>
      <c r="H87" s="182"/>
      <c r="I87" s="182"/>
      <c r="J87" s="182"/>
      <c r="K87" s="182"/>
      <c r="L87" s="182"/>
      <c r="M87" s="182"/>
      <c r="N87" s="182"/>
      <c r="O87" s="182"/>
      <c r="P87" s="182"/>
    </row>
    <row r="88" spans="1:16" s="7" customFormat="1" ht="9.25" customHeight="1" x14ac:dyDescent="0.3">
      <c r="A88" s="11" t="s">
        <v>488</v>
      </c>
      <c r="B88" s="10" t="s">
        <v>377</v>
      </c>
      <c r="C88" s="10" t="s">
        <v>211</v>
      </c>
      <c r="D88" s="662">
        <f>25*150/250</f>
        <v>15</v>
      </c>
      <c r="E88" s="662">
        <f>20*150/250</f>
        <v>12</v>
      </c>
      <c r="F88" s="662">
        <f>25*180/250</f>
        <v>18</v>
      </c>
      <c r="G88" s="662">
        <f>20*180/250</f>
        <v>14.4</v>
      </c>
      <c r="H88" s="182"/>
      <c r="I88" s="182"/>
      <c r="J88" s="182"/>
      <c r="K88" s="182"/>
      <c r="L88" s="182"/>
      <c r="M88" s="182"/>
      <c r="N88" s="182"/>
      <c r="O88" s="182"/>
      <c r="P88" s="182"/>
    </row>
    <row r="89" spans="1:16" s="7" customFormat="1" ht="9.25" customHeight="1" x14ac:dyDescent="0.3">
      <c r="A89" s="92"/>
      <c r="B89" s="677" t="s">
        <v>606</v>
      </c>
      <c r="C89" s="10" t="s">
        <v>163</v>
      </c>
      <c r="D89" s="662">
        <f>E89*1.33</f>
        <v>39.900000000000006</v>
      </c>
      <c r="E89" s="662">
        <f>50*150/250</f>
        <v>30</v>
      </c>
      <c r="F89" s="662">
        <f>G89*1.33</f>
        <v>47.88</v>
      </c>
      <c r="G89" s="662">
        <f>50*180/250</f>
        <v>36</v>
      </c>
      <c r="H89" s="182"/>
      <c r="I89" s="182"/>
      <c r="J89" s="182"/>
      <c r="K89" s="182"/>
      <c r="L89" s="182"/>
      <c r="M89" s="182"/>
      <c r="N89" s="182"/>
      <c r="O89" s="182"/>
      <c r="P89" s="182"/>
    </row>
    <row r="90" spans="1:16" s="7" customFormat="1" ht="9.25" customHeight="1" x14ac:dyDescent="0.3">
      <c r="A90" s="92"/>
      <c r="B90" s="19"/>
      <c r="C90" s="10" t="s">
        <v>164</v>
      </c>
      <c r="D90" s="662">
        <f>E90*1.43</f>
        <v>42.9</v>
      </c>
      <c r="E90" s="662">
        <f>50*150/250</f>
        <v>30</v>
      </c>
      <c r="F90" s="662">
        <f>G90*1.43</f>
        <v>51.48</v>
      </c>
      <c r="G90" s="662">
        <f>50*180/250</f>
        <v>36</v>
      </c>
      <c r="H90" s="182"/>
      <c r="I90" s="182"/>
      <c r="J90" s="182"/>
      <c r="K90" s="182"/>
      <c r="L90" s="182"/>
      <c r="M90" s="182"/>
      <c r="N90" s="182"/>
      <c r="O90" s="182"/>
      <c r="P90" s="182"/>
    </row>
    <row r="91" spans="1:16" s="7" customFormat="1" ht="9.25" customHeight="1" x14ac:dyDescent="0.3">
      <c r="A91" s="92"/>
      <c r="B91" s="19"/>
      <c r="C91" s="10" t="s">
        <v>165</v>
      </c>
      <c r="D91" s="662">
        <f>E91*1.54</f>
        <v>46.2</v>
      </c>
      <c r="E91" s="662">
        <f>50*150/250</f>
        <v>30</v>
      </c>
      <c r="F91" s="662">
        <f>G91*1.54</f>
        <v>55.44</v>
      </c>
      <c r="G91" s="662">
        <f>50*180/250</f>
        <v>36</v>
      </c>
      <c r="H91" s="182"/>
      <c r="I91" s="182"/>
      <c r="J91" s="182"/>
      <c r="K91" s="182"/>
      <c r="L91" s="182"/>
      <c r="M91" s="182"/>
      <c r="N91" s="182"/>
      <c r="O91" s="182"/>
      <c r="P91" s="182"/>
    </row>
    <row r="92" spans="1:16" s="7" customFormat="1" ht="9.25" customHeight="1" x14ac:dyDescent="0.3">
      <c r="A92" s="92"/>
      <c r="B92" s="19"/>
      <c r="C92" s="10" t="s">
        <v>166</v>
      </c>
      <c r="D92" s="662">
        <f>E92*1.67</f>
        <v>50.099999999999994</v>
      </c>
      <c r="E92" s="662">
        <f>50*150/250</f>
        <v>30</v>
      </c>
      <c r="F92" s="662">
        <f>G92*1.67</f>
        <v>60.12</v>
      </c>
      <c r="G92" s="662">
        <f>50*180/250</f>
        <v>36</v>
      </c>
      <c r="H92" s="182"/>
      <c r="I92" s="182"/>
      <c r="J92" s="182"/>
      <c r="K92" s="182"/>
      <c r="L92" s="182"/>
      <c r="M92" s="182"/>
      <c r="N92" s="182"/>
      <c r="O92" s="182"/>
      <c r="P92" s="182"/>
    </row>
    <row r="93" spans="1:16" s="7" customFormat="1" ht="9.25" customHeight="1" x14ac:dyDescent="0.3">
      <c r="A93" s="92"/>
      <c r="B93" s="19"/>
      <c r="C93" s="10" t="s">
        <v>489</v>
      </c>
      <c r="D93" s="662">
        <f>12*150/250</f>
        <v>7.2</v>
      </c>
      <c r="E93" s="662">
        <f>8*150/250</f>
        <v>4.8</v>
      </c>
      <c r="F93" s="662">
        <f>12*180/250</f>
        <v>8.64</v>
      </c>
      <c r="G93" s="662">
        <f>8*180/250</f>
        <v>5.76</v>
      </c>
      <c r="H93" s="182"/>
      <c r="I93" s="182"/>
      <c r="J93" s="182"/>
      <c r="K93" s="182"/>
      <c r="L93" s="182"/>
      <c r="M93" s="182"/>
      <c r="N93" s="182"/>
      <c r="O93" s="182"/>
      <c r="P93" s="182"/>
    </row>
    <row r="94" spans="1:16" s="7" customFormat="1" ht="9.25" customHeight="1" x14ac:dyDescent="0.3">
      <c r="A94" s="92"/>
      <c r="B94" s="19"/>
      <c r="C94" s="19" t="s">
        <v>62</v>
      </c>
      <c r="D94" s="662">
        <f>13*150/250</f>
        <v>7.8</v>
      </c>
      <c r="E94" s="662">
        <f>10*150/250</f>
        <v>6</v>
      </c>
      <c r="F94" s="662">
        <f>13*180/250</f>
        <v>9.36</v>
      </c>
      <c r="G94" s="662">
        <f>10*180/250</f>
        <v>7.2</v>
      </c>
      <c r="H94" s="182"/>
      <c r="I94" s="182"/>
      <c r="J94" s="182"/>
      <c r="K94" s="182"/>
      <c r="L94" s="182"/>
      <c r="M94" s="182"/>
      <c r="N94" s="182"/>
      <c r="O94" s="182"/>
      <c r="P94" s="182"/>
    </row>
    <row r="95" spans="1:16" s="7" customFormat="1" ht="9.25" customHeight="1" x14ac:dyDescent="0.3">
      <c r="A95" s="92"/>
      <c r="B95" s="10"/>
      <c r="C95" s="19" t="s">
        <v>60</v>
      </c>
      <c r="D95" s="662">
        <f>12*150/250</f>
        <v>7.2</v>
      </c>
      <c r="E95" s="662">
        <f>10*150/250</f>
        <v>6</v>
      </c>
      <c r="F95" s="662">
        <f>12*180/250</f>
        <v>8.64</v>
      </c>
      <c r="G95" s="662">
        <f>10*180/250</f>
        <v>7.2</v>
      </c>
      <c r="H95" s="182"/>
      <c r="I95" s="182"/>
      <c r="J95" s="182"/>
      <c r="K95" s="182"/>
      <c r="L95" s="182"/>
      <c r="M95" s="182"/>
      <c r="N95" s="182"/>
      <c r="O95" s="182"/>
      <c r="P95" s="182"/>
    </row>
    <row r="96" spans="1:16" s="7" customFormat="1" ht="9.25" customHeight="1" x14ac:dyDescent="0.3">
      <c r="A96" s="92"/>
      <c r="B96" s="10"/>
      <c r="C96" s="19" t="s">
        <v>136</v>
      </c>
      <c r="D96" s="662">
        <f>5*150/250</f>
        <v>3</v>
      </c>
      <c r="E96" s="662">
        <f>5*150/250</f>
        <v>3</v>
      </c>
      <c r="F96" s="662">
        <f>5*180/250</f>
        <v>3.6</v>
      </c>
      <c r="G96" s="662">
        <f>5*180/250</f>
        <v>3.6</v>
      </c>
      <c r="H96" s="182"/>
      <c r="I96" s="182"/>
      <c r="J96" s="182"/>
      <c r="K96" s="182"/>
      <c r="L96" s="182"/>
      <c r="M96" s="182"/>
      <c r="N96" s="182"/>
      <c r="O96" s="182"/>
      <c r="P96" s="182"/>
    </row>
    <row r="97" spans="1:16" s="7" customFormat="1" ht="9.25" customHeight="1" x14ac:dyDescent="0.3">
      <c r="A97" s="92"/>
      <c r="B97" s="10"/>
      <c r="C97" s="148" t="s">
        <v>187</v>
      </c>
      <c r="D97" s="93">
        <f>84*10/60</f>
        <v>14</v>
      </c>
      <c r="E97" s="93">
        <f>82*10/60</f>
        <v>13.666666666666666</v>
      </c>
      <c r="F97" s="93">
        <f>84*10/60</f>
        <v>14</v>
      </c>
      <c r="G97" s="93">
        <f>82*10/60</f>
        <v>13.666666666666666</v>
      </c>
      <c r="H97" s="182"/>
      <c r="I97" s="182"/>
      <c r="J97" s="182"/>
      <c r="K97" s="182"/>
      <c r="L97" s="182"/>
      <c r="M97" s="182"/>
      <c r="N97" s="182"/>
      <c r="O97" s="182"/>
      <c r="P97" s="182"/>
    </row>
    <row r="98" spans="1:16" s="7" customFormat="1" ht="9.25" customHeight="1" x14ac:dyDescent="0.3">
      <c r="A98" s="586"/>
      <c r="B98" s="10"/>
      <c r="C98" s="19" t="s">
        <v>65</v>
      </c>
      <c r="D98" s="96">
        <v>10</v>
      </c>
      <c r="E98" s="96">
        <v>10</v>
      </c>
      <c r="F98" s="96">
        <v>10</v>
      </c>
      <c r="G98" s="96">
        <v>10</v>
      </c>
      <c r="H98" s="182"/>
      <c r="I98" s="182"/>
      <c r="J98" s="182"/>
      <c r="K98" s="182"/>
      <c r="L98" s="182"/>
      <c r="M98" s="182"/>
      <c r="N98" s="182"/>
      <c r="O98" s="182"/>
      <c r="P98" s="182"/>
    </row>
    <row r="99" spans="1:16" s="87" customFormat="1" ht="9.25" customHeight="1" x14ac:dyDescent="0.3">
      <c r="A99" s="11">
        <v>261</v>
      </c>
      <c r="B99" s="10" t="s">
        <v>199</v>
      </c>
      <c r="C99" s="10" t="s">
        <v>225</v>
      </c>
      <c r="D99" s="93">
        <f>182*E99/122</f>
        <v>61.16393442622951</v>
      </c>
      <c r="E99" s="93">
        <v>41</v>
      </c>
      <c r="F99" s="93">
        <f>182*G99/122</f>
        <v>80.557377049180332</v>
      </c>
      <c r="G99" s="94">
        <v>54</v>
      </c>
      <c r="H99" s="181"/>
      <c r="I99" s="181"/>
      <c r="J99" s="181"/>
      <c r="K99" s="181"/>
      <c r="L99" s="181"/>
      <c r="M99" s="181"/>
      <c r="N99" s="181"/>
      <c r="O99" s="181"/>
      <c r="P99" s="181"/>
    </row>
    <row r="100" spans="1:16" s="7" customFormat="1" ht="9.25" customHeight="1" x14ac:dyDescent="0.3">
      <c r="A100" s="92" t="s">
        <v>133</v>
      </c>
      <c r="B100" s="10" t="s">
        <v>111</v>
      </c>
      <c r="C100" s="10" t="s">
        <v>124</v>
      </c>
      <c r="D100" s="93">
        <f>107*E100/91</f>
        <v>48.208791208791212</v>
      </c>
      <c r="E100" s="93">
        <v>41</v>
      </c>
      <c r="F100" s="93">
        <f>107*G100/91</f>
        <v>63.494505494505496</v>
      </c>
      <c r="G100" s="94">
        <v>54</v>
      </c>
      <c r="H100" s="182"/>
      <c r="I100" s="182"/>
      <c r="J100" s="182"/>
      <c r="K100" s="182"/>
      <c r="L100" s="182"/>
      <c r="M100" s="182"/>
      <c r="N100" s="182"/>
      <c r="O100" s="182"/>
      <c r="P100" s="182"/>
    </row>
    <row r="101" spans="1:16" s="87" customFormat="1" ht="9.25" customHeight="1" x14ac:dyDescent="0.3">
      <c r="A101" s="92" t="s">
        <v>133</v>
      </c>
      <c r="B101" s="10" t="s">
        <v>113</v>
      </c>
      <c r="C101" s="10" t="s">
        <v>123</v>
      </c>
      <c r="D101" s="93">
        <f>152*E101/91</f>
        <v>68.483516483516482</v>
      </c>
      <c r="E101" s="93">
        <v>41</v>
      </c>
      <c r="F101" s="93">
        <f>152*G101/91</f>
        <v>90.197802197802204</v>
      </c>
      <c r="G101" s="94">
        <v>54</v>
      </c>
      <c r="H101" s="181"/>
      <c r="I101" s="181"/>
      <c r="J101" s="181"/>
      <c r="K101" s="181"/>
      <c r="L101" s="181"/>
      <c r="M101" s="181"/>
      <c r="N101" s="181"/>
      <c r="O101" s="181"/>
      <c r="P101" s="181"/>
    </row>
    <row r="102" spans="1:16" s="87" customFormat="1" ht="9.25" customHeight="1" x14ac:dyDescent="0.3">
      <c r="A102" s="92"/>
      <c r="B102" s="10"/>
      <c r="C102" s="10" t="s">
        <v>184</v>
      </c>
      <c r="D102" s="93">
        <v>10</v>
      </c>
      <c r="E102" s="93">
        <v>10</v>
      </c>
      <c r="F102" s="93">
        <v>13</v>
      </c>
      <c r="G102" s="94">
        <v>13</v>
      </c>
      <c r="H102" s="181"/>
      <c r="I102" s="181"/>
      <c r="J102" s="181"/>
      <c r="K102" s="181"/>
      <c r="L102" s="181"/>
      <c r="M102" s="181"/>
      <c r="N102" s="181"/>
      <c r="O102" s="181"/>
      <c r="P102" s="181"/>
    </row>
    <row r="103" spans="1:16" s="87" customFormat="1" ht="9.25" customHeight="1" x14ac:dyDescent="0.3">
      <c r="A103" s="92"/>
      <c r="B103" s="10"/>
      <c r="C103" s="10" t="s">
        <v>185</v>
      </c>
      <c r="D103" s="93">
        <v>16</v>
      </c>
      <c r="E103" s="93">
        <v>16</v>
      </c>
      <c r="F103" s="93">
        <v>22</v>
      </c>
      <c r="G103" s="94">
        <v>22</v>
      </c>
      <c r="H103" s="181"/>
      <c r="I103" s="181"/>
      <c r="J103" s="181"/>
      <c r="K103" s="181"/>
      <c r="L103" s="181"/>
      <c r="M103" s="181"/>
      <c r="N103" s="181"/>
      <c r="O103" s="181"/>
      <c r="P103" s="181"/>
    </row>
    <row r="104" spans="1:16" s="7" customFormat="1" ht="9.25" customHeight="1" x14ac:dyDescent="0.3">
      <c r="A104" s="92"/>
      <c r="B104" s="10"/>
      <c r="C104" s="10" t="s">
        <v>109</v>
      </c>
      <c r="D104" s="93">
        <v>4</v>
      </c>
      <c r="E104" s="93">
        <v>4</v>
      </c>
      <c r="F104" s="93">
        <v>5</v>
      </c>
      <c r="G104" s="94">
        <v>5</v>
      </c>
      <c r="H104" s="182"/>
      <c r="I104" s="182"/>
      <c r="J104" s="182"/>
      <c r="K104" s="182"/>
      <c r="L104" s="182"/>
      <c r="M104" s="182"/>
      <c r="N104" s="182"/>
      <c r="O104" s="182"/>
      <c r="P104" s="182"/>
    </row>
    <row r="105" spans="1:16" s="7" customFormat="1" ht="9.25" customHeight="1" x14ac:dyDescent="0.3">
      <c r="A105" s="92"/>
      <c r="B105" s="10" t="s">
        <v>197</v>
      </c>
      <c r="C105" s="10" t="s">
        <v>103</v>
      </c>
      <c r="D105" s="93">
        <v>2</v>
      </c>
      <c r="E105" s="93">
        <v>2</v>
      </c>
      <c r="F105" s="93">
        <v>3</v>
      </c>
      <c r="G105" s="94">
        <v>3</v>
      </c>
      <c r="H105" s="182"/>
      <c r="I105" s="182"/>
      <c r="J105" s="182"/>
      <c r="K105" s="182"/>
      <c r="L105" s="182"/>
      <c r="M105" s="182"/>
      <c r="N105" s="182"/>
      <c r="O105" s="182"/>
      <c r="P105" s="182"/>
    </row>
    <row r="106" spans="1:16" s="7" customFormat="1" ht="9.25" customHeight="1" x14ac:dyDescent="0.3">
      <c r="A106" s="92"/>
      <c r="B106" s="10" t="s">
        <v>573</v>
      </c>
      <c r="C106" s="19" t="s">
        <v>249</v>
      </c>
      <c r="D106" s="576"/>
      <c r="E106" s="576">
        <v>15</v>
      </c>
      <c r="F106" s="576"/>
      <c r="G106" s="585">
        <v>30</v>
      </c>
      <c r="H106" s="182"/>
      <c r="I106" s="182"/>
      <c r="J106" s="182"/>
      <c r="K106" s="182"/>
      <c r="L106" s="182"/>
      <c r="M106" s="182"/>
      <c r="N106" s="182"/>
      <c r="O106" s="182"/>
      <c r="P106" s="182"/>
    </row>
    <row r="107" spans="1:16" s="7" customFormat="1" ht="9.25" customHeight="1" x14ac:dyDescent="0.3">
      <c r="A107" s="92"/>
      <c r="B107" s="10"/>
      <c r="C107" s="19" t="s">
        <v>136</v>
      </c>
      <c r="D107" s="96">
        <f>E106*45/1000</f>
        <v>0.67500000000000004</v>
      </c>
      <c r="E107" s="96">
        <f>E106*45/1000</f>
        <v>0.67500000000000004</v>
      </c>
      <c r="F107" s="96">
        <f>G106*45/1000</f>
        <v>1.35</v>
      </c>
      <c r="G107" s="96">
        <f>G106*45/1000</f>
        <v>1.35</v>
      </c>
      <c r="H107" s="182"/>
      <c r="I107" s="182"/>
      <c r="J107" s="182"/>
      <c r="K107" s="182"/>
      <c r="L107" s="182"/>
      <c r="M107" s="182"/>
      <c r="N107" s="182"/>
      <c r="O107" s="182"/>
      <c r="P107" s="182"/>
    </row>
    <row r="108" spans="1:16" s="7" customFormat="1" ht="9.25" customHeight="1" x14ac:dyDescent="0.3">
      <c r="A108" s="92"/>
      <c r="B108" s="10"/>
      <c r="C108" s="19" t="s">
        <v>66</v>
      </c>
      <c r="D108" s="96">
        <f>45*E106/1000</f>
        <v>0.67500000000000004</v>
      </c>
      <c r="E108" s="96">
        <f>45*E106/1000</f>
        <v>0.67500000000000004</v>
      </c>
      <c r="F108" s="96">
        <f>45*G106/1000</f>
        <v>1.35</v>
      </c>
      <c r="G108" s="96">
        <f>45*G106/1000</f>
        <v>1.35</v>
      </c>
      <c r="H108" s="182"/>
      <c r="I108" s="182"/>
      <c r="J108" s="182"/>
      <c r="K108" s="182"/>
      <c r="L108" s="182"/>
      <c r="M108" s="182"/>
      <c r="N108" s="182"/>
      <c r="O108" s="182"/>
      <c r="P108" s="182"/>
    </row>
    <row r="109" spans="1:16" s="7" customFormat="1" ht="9.25" customHeight="1" x14ac:dyDescent="0.3">
      <c r="A109" s="92"/>
      <c r="B109" s="10"/>
      <c r="C109" s="19" t="s">
        <v>572</v>
      </c>
      <c r="D109" s="96">
        <f>1000*E106/1000</f>
        <v>15</v>
      </c>
      <c r="E109" s="96">
        <f>1000*E106/1000</f>
        <v>15</v>
      </c>
      <c r="F109" s="96">
        <f>1000*G106/1000</f>
        <v>30</v>
      </c>
      <c r="G109" s="587">
        <f>1000*G106/1000</f>
        <v>30</v>
      </c>
      <c r="H109" s="182"/>
      <c r="I109" s="182"/>
      <c r="J109" s="182"/>
      <c r="K109" s="182"/>
      <c r="L109" s="182"/>
      <c r="M109" s="182"/>
      <c r="N109" s="182"/>
      <c r="O109" s="182"/>
      <c r="P109" s="182"/>
    </row>
    <row r="110" spans="1:16" s="7" customFormat="1" ht="9.25" customHeight="1" x14ac:dyDescent="0.3">
      <c r="A110" s="92"/>
      <c r="B110" s="10"/>
      <c r="C110" s="19" t="s">
        <v>105</v>
      </c>
      <c r="D110" s="96">
        <v>0</v>
      </c>
      <c r="E110" s="96">
        <v>0</v>
      </c>
      <c r="F110" s="96">
        <f>60*G106/1000*0.4</f>
        <v>0.72000000000000008</v>
      </c>
      <c r="G110" s="96">
        <f>60*G106/1000*0.4</f>
        <v>0.72000000000000008</v>
      </c>
      <c r="H110" s="182"/>
      <c r="I110" s="182"/>
      <c r="J110" s="182"/>
      <c r="K110" s="182"/>
      <c r="L110" s="182"/>
      <c r="M110" s="182"/>
      <c r="N110" s="182"/>
      <c r="O110" s="182"/>
      <c r="P110" s="182"/>
    </row>
    <row r="111" spans="1:16" s="7" customFormat="1" ht="9.25" customHeight="1" x14ac:dyDescent="0.3">
      <c r="A111" s="92"/>
      <c r="B111" s="10"/>
      <c r="C111" s="19" t="s">
        <v>56</v>
      </c>
      <c r="D111" s="96">
        <f>8*E106/1000</f>
        <v>0.12</v>
      </c>
      <c r="E111" s="96">
        <f>8*E106/1000</f>
        <v>0.12</v>
      </c>
      <c r="F111" s="96">
        <f>8*G106/1000</f>
        <v>0.24</v>
      </c>
      <c r="G111" s="587">
        <f>8*G106/1000</f>
        <v>0.24</v>
      </c>
      <c r="H111" s="182"/>
      <c r="I111" s="182"/>
      <c r="J111" s="182"/>
      <c r="K111" s="182"/>
      <c r="L111" s="182"/>
      <c r="M111" s="182"/>
      <c r="N111" s="182"/>
      <c r="O111" s="182"/>
      <c r="P111" s="182"/>
    </row>
    <row r="112" spans="1:16" s="7" customFormat="1" ht="9.25" customHeight="1" x14ac:dyDescent="0.3">
      <c r="A112" s="92"/>
      <c r="B112" s="10"/>
      <c r="C112" s="10" t="s">
        <v>62</v>
      </c>
      <c r="D112" s="93">
        <f>75*E106/1000</f>
        <v>1.125</v>
      </c>
      <c r="E112" s="93">
        <f>75*E106/1000</f>
        <v>1.125</v>
      </c>
      <c r="F112" s="93">
        <f>75*G106/1000</f>
        <v>2.25</v>
      </c>
      <c r="G112" s="93">
        <f>75*G106/1000</f>
        <v>2.25</v>
      </c>
      <c r="H112" s="182"/>
      <c r="I112" s="182"/>
      <c r="J112" s="182"/>
      <c r="K112" s="182"/>
      <c r="L112" s="182"/>
      <c r="M112" s="182"/>
      <c r="N112" s="182"/>
      <c r="O112" s="182"/>
      <c r="P112" s="182"/>
    </row>
    <row r="113" spans="1:16" s="7" customFormat="1" ht="9.25" customHeight="1" x14ac:dyDescent="0.3">
      <c r="A113" s="92"/>
      <c r="B113" s="10"/>
      <c r="C113" s="10" t="s">
        <v>60</v>
      </c>
      <c r="D113" s="93">
        <f>34*E106/1000</f>
        <v>0.51</v>
      </c>
      <c r="E113" s="93">
        <f>34*E106/1000</f>
        <v>0.51</v>
      </c>
      <c r="F113" s="93">
        <f>34*G106/1000</f>
        <v>1.02</v>
      </c>
      <c r="G113" s="93">
        <f>34*G106/1000</f>
        <v>1.02</v>
      </c>
      <c r="H113" s="182"/>
      <c r="I113" s="182"/>
      <c r="J113" s="182"/>
      <c r="K113" s="182"/>
      <c r="L113" s="182"/>
      <c r="M113" s="182"/>
      <c r="N113" s="182"/>
      <c r="O113" s="182"/>
      <c r="P113" s="182"/>
    </row>
    <row r="114" spans="1:16" s="7" customFormat="1" ht="9.25" customHeight="1" x14ac:dyDescent="0.3">
      <c r="A114" s="92"/>
      <c r="B114" s="10"/>
      <c r="C114" s="10" t="s">
        <v>171</v>
      </c>
      <c r="D114" s="93">
        <f>13*E106/1000</f>
        <v>0.19500000000000001</v>
      </c>
      <c r="E114" s="93">
        <f>13*E106/1000</f>
        <v>0.19500000000000001</v>
      </c>
      <c r="F114" s="93">
        <f>13*G106/1000</f>
        <v>0.39</v>
      </c>
      <c r="G114" s="93">
        <f>13*G106/1000</f>
        <v>0.39</v>
      </c>
      <c r="H114" s="182"/>
      <c r="I114" s="182"/>
      <c r="J114" s="182"/>
      <c r="K114" s="182"/>
      <c r="L114" s="182"/>
      <c r="M114" s="182"/>
      <c r="N114" s="182"/>
      <c r="O114" s="182"/>
      <c r="P114" s="182"/>
    </row>
    <row r="115" spans="1:16" s="7" customFormat="1" ht="9.25" customHeight="1" x14ac:dyDescent="0.3">
      <c r="A115" s="92"/>
      <c r="B115" s="10"/>
      <c r="C115" s="10" t="s">
        <v>136</v>
      </c>
      <c r="D115" s="93">
        <f>15*E106/1000</f>
        <v>0.22500000000000001</v>
      </c>
      <c r="E115" s="93">
        <f>15*E106/1000</f>
        <v>0.22500000000000001</v>
      </c>
      <c r="F115" s="93">
        <f>15*G106/1000</f>
        <v>0.45</v>
      </c>
      <c r="G115" s="93">
        <f>15*G106/1000</f>
        <v>0.45</v>
      </c>
      <c r="H115" s="182"/>
      <c r="I115" s="182"/>
      <c r="J115" s="182"/>
      <c r="K115" s="182"/>
      <c r="L115" s="182"/>
      <c r="M115" s="182"/>
      <c r="N115" s="182"/>
      <c r="O115" s="182"/>
      <c r="P115" s="182"/>
    </row>
    <row r="116" spans="1:16" s="7" customFormat="1" ht="9.25" customHeight="1" x14ac:dyDescent="0.3">
      <c r="A116" s="92"/>
      <c r="B116" s="10"/>
      <c r="C116" s="10" t="s">
        <v>55</v>
      </c>
      <c r="D116" s="93">
        <f>10*E106/1000</f>
        <v>0.15</v>
      </c>
      <c r="E116" s="93">
        <f>10*E106/1000</f>
        <v>0.15</v>
      </c>
      <c r="F116" s="93">
        <f>10*G106/1000</f>
        <v>0.3</v>
      </c>
      <c r="G116" s="93">
        <f>10*G106/1000</f>
        <v>0.3</v>
      </c>
      <c r="H116" s="182"/>
      <c r="I116" s="182"/>
      <c r="J116" s="182"/>
      <c r="K116" s="182"/>
      <c r="L116" s="182"/>
      <c r="M116" s="182"/>
      <c r="N116" s="182"/>
      <c r="O116" s="182"/>
      <c r="P116" s="182"/>
    </row>
    <row r="117" spans="1:16" s="7" customFormat="1" ht="9.25" customHeight="1" x14ac:dyDescent="0.3">
      <c r="A117" s="92"/>
      <c r="B117" s="10"/>
      <c r="C117" s="10" t="s">
        <v>56</v>
      </c>
      <c r="D117" s="93">
        <f>10*E106/1000</f>
        <v>0.15</v>
      </c>
      <c r="E117" s="93">
        <f>10*E106/1000</f>
        <v>0.15</v>
      </c>
      <c r="F117" s="93">
        <f>10*G106/1000</f>
        <v>0.3</v>
      </c>
      <c r="G117" s="93">
        <f>10*G106/1000</f>
        <v>0.3</v>
      </c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6" s="7" customFormat="1" ht="9.25" customHeight="1" x14ac:dyDescent="0.3">
      <c r="A118" s="92"/>
      <c r="B118" s="10"/>
      <c r="C118" s="10" t="s">
        <v>56</v>
      </c>
      <c r="D118" s="93">
        <f>10*E107/1000</f>
        <v>6.7499999999999999E-3</v>
      </c>
      <c r="E118" s="93">
        <f>10*E107/1000</f>
        <v>6.7499999999999999E-3</v>
      </c>
      <c r="F118" s="93">
        <f>10*G107/1000</f>
        <v>1.35E-2</v>
      </c>
      <c r="G118" s="93">
        <f>10*G107/1000</f>
        <v>1.35E-2</v>
      </c>
      <c r="H118" s="182"/>
      <c r="I118" s="182"/>
      <c r="J118" s="182"/>
      <c r="K118" s="182"/>
      <c r="L118" s="182"/>
      <c r="M118" s="182"/>
      <c r="N118" s="182"/>
      <c r="O118" s="182"/>
      <c r="P118" s="182"/>
    </row>
    <row r="119" spans="1:16" s="7" customFormat="1" ht="9.25" customHeight="1" x14ac:dyDescent="0.3">
      <c r="A119" s="92">
        <v>321</v>
      </c>
      <c r="B119" s="10" t="s">
        <v>98</v>
      </c>
      <c r="C119" s="10" t="s">
        <v>163</v>
      </c>
      <c r="D119" s="662">
        <f>E119*1.33</f>
        <v>125.0865</v>
      </c>
      <c r="E119" s="662">
        <f>855*110/1000</f>
        <v>94.05</v>
      </c>
      <c r="F119" s="662">
        <f>G119*1.33</f>
        <v>147.82950000000002</v>
      </c>
      <c r="G119" s="663">
        <f>855*130/1000</f>
        <v>111.15</v>
      </c>
      <c r="H119" s="182"/>
      <c r="I119" s="182"/>
      <c r="J119" s="182"/>
      <c r="K119" s="182"/>
      <c r="L119" s="182"/>
      <c r="M119" s="182"/>
      <c r="N119" s="182"/>
      <c r="O119" s="182"/>
      <c r="P119" s="182"/>
    </row>
    <row r="120" spans="1:16" s="7" customFormat="1" ht="9.25" customHeight="1" x14ac:dyDescent="0.3">
      <c r="A120" s="92"/>
      <c r="B120" s="10"/>
      <c r="C120" s="10" t="s">
        <v>164</v>
      </c>
      <c r="D120" s="662">
        <f>E120*1.43</f>
        <v>134.4915</v>
      </c>
      <c r="E120" s="662">
        <f>855*110/1000</f>
        <v>94.05</v>
      </c>
      <c r="F120" s="662">
        <f>G120*1.43</f>
        <v>158.94450000000001</v>
      </c>
      <c r="G120" s="663">
        <f>855*130/1000</f>
        <v>111.15</v>
      </c>
      <c r="H120" s="182"/>
      <c r="I120" s="182"/>
      <c r="J120" s="182"/>
      <c r="K120" s="182"/>
      <c r="L120" s="182"/>
      <c r="M120" s="182"/>
      <c r="N120" s="182"/>
      <c r="O120" s="182"/>
      <c r="P120" s="182"/>
    </row>
    <row r="121" spans="1:16" s="7" customFormat="1" ht="9.25" customHeight="1" x14ac:dyDescent="0.3">
      <c r="A121" s="92"/>
      <c r="B121" s="10"/>
      <c r="C121" s="10" t="s">
        <v>165</v>
      </c>
      <c r="D121" s="662">
        <f>E121*1.54</f>
        <v>144.83699999999999</v>
      </c>
      <c r="E121" s="662">
        <f>855*110/1000</f>
        <v>94.05</v>
      </c>
      <c r="F121" s="662">
        <f>G121*1.54</f>
        <v>171.17100000000002</v>
      </c>
      <c r="G121" s="663">
        <f>855*130/1000</f>
        <v>111.15</v>
      </c>
      <c r="H121" s="182"/>
      <c r="I121" s="182"/>
      <c r="J121" s="182"/>
      <c r="K121" s="182"/>
      <c r="L121" s="182"/>
      <c r="M121" s="182"/>
      <c r="N121" s="182"/>
      <c r="O121" s="182"/>
      <c r="P121" s="182"/>
    </row>
    <row r="122" spans="1:16" s="7" customFormat="1" ht="9.25" customHeight="1" x14ac:dyDescent="0.3">
      <c r="A122" s="92"/>
      <c r="B122" s="10"/>
      <c r="C122" s="10" t="s">
        <v>166</v>
      </c>
      <c r="D122" s="662">
        <f>E122*1.67</f>
        <v>157.06349999999998</v>
      </c>
      <c r="E122" s="662">
        <f>855*110/1000</f>
        <v>94.05</v>
      </c>
      <c r="F122" s="662">
        <f>G122*1.67</f>
        <v>185.62049999999999</v>
      </c>
      <c r="G122" s="663">
        <f>855*130/1000</f>
        <v>111.15</v>
      </c>
      <c r="H122" s="182"/>
      <c r="I122" s="182"/>
      <c r="J122" s="182"/>
      <c r="K122" s="182"/>
      <c r="L122" s="182"/>
      <c r="M122" s="182"/>
      <c r="N122" s="182"/>
      <c r="O122" s="182"/>
      <c r="P122" s="182"/>
    </row>
    <row r="123" spans="1:16" s="7" customFormat="1" ht="9.25" customHeight="1" x14ac:dyDescent="0.3">
      <c r="A123" s="92" t="s">
        <v>133</v>
      </c>
      <c r="B123" s="665" t="s">
        <v>582</v>
      </c>
      <c r="C123" s="10" t="s">
        <v>114</v>
      </c>
      <c r="D123" s="662">
        <f>158*110/1000</f>
        <v>17.38</v>
      </c>
      <c r="E123" s="662">
        <f>150*110/1000</f>
        <v>16.5</v>
      </c>
      <c r="F123" s="662">
        <f>158*130/1000</f>
        <v>20.54</v>
      </c>
      <c r="G123" s="663">
        <f>150*130/1000</f>
        <v>19.5</v>
      </c>
      <c r="H123" s="182"/>
      <c r="I123" s="182"/>
      <c r="J123" s="182"/>
      <c r="K123" s="182"/>
      <c r="L123" s="182"/>
      <c r="M123" s="182"/>
      <c r="N123" s="182"/>
      <c r="O123" s="182"/>
      <c r="P123" s="182"/>
    </row>
    <row r="124" spans="1:16" s="7" customFormat="1" ht="9.25" customHeight="1" x14ac:dyDescent="0.3">
      <c r="A124" s="92"/>
      <c r="B124" s="10"/>
      <c r="C124" s="10" t="s">
        <v>122</v>
      </c>
      <c r="D124" s="93">
        <f>D123*0.12</f>
        <v>2.0855999999999999</v>
      </c>
      <c r="E124" s="93">
        <f>E123*0.12</f>
        <v>1.98</v>
      </c>
      <c r="F124" s="93">
        <f>F123*0.12</f>
        <v>2.4647999999999999</v>
      </c>
      <c r="G124" s="94">
        <f>G123*0.12</f>
        <v>2.34</v>
      </c>
      <c r="H124" s="182"/>
      <c r="I124" s="182"/>
      <c r="J124" s="182"/>
      <c r="K124" s="182"/>
      <c r="L124" s="182"/>
      <c r="M124" s="182"/>
      <c r="N124" s="182"/>
      <c r="O124" s="182"/>
      <c r="P124" s="182"/>
    </row>
    <row r="125" spans="1:16" s="7" customFormat="1" ht="9.25" customHeight="1" x14ac:dyDescent="0.3">
      <c r="A125" s="92"/>
      <c r="B125" s="10"/>
      <c r="C125" s="10" t="s">
        <v>57</v>
      </c>
      <c r="D125" s="662">
        <f>35*110/1000</f>
        <v>3.85</v>
      </c>
      <c r="E125" s="662">
        <f>35*110/1000</f>
        <v>3.85</v>
      </c>
      <c r="F125" s="662">
        <f>35*130/1000</f>
        <v>4.55</v>
      </c>
      <c r="G125" s="663">
        <f>35*130/1000</f>
        <v>4.55</v>
      </c>
      <c r="H125" s="182"/>
      <c r="I125" s="182"/>
      <c r="J125" s="182"/>
      <c r="K125" s="182"/>
      <c r="L125" s="182"/>
      <c r="M125" s="182"/>
      <c r="N125" s="182"/>
      <c r="O125" s="182"/>
      <c r="P125" s="182"/>
    </row>
    <row r="126" spans="1:16" s="7" customFormat="1" ht="9.25" customHeight="1" x14ac:dyDescent="0.3">
      <c r="A126" s="92"/>
      <c r="B126" s="10"/>
      <c r="C126" s="10" t="s">
        <v>56</v>
      </c>
      <c r="D126" s="93">
        <f>0.001*120</f>
        <v>0.12</v>
      </c>
      <c r="E126" s="93">
        <f>0.001*120</f>
        <v>0.12</v>
      </c>
      <c r="F126" s="93">
        <f>0.001*150</f>
        <v>0.15</v>
      </c>
      <c r="G126" s="94">
        <f>0.001*150</f>
        <v>0.15</v>
      </c>
      <c r="H126" s="182"/>
      <c r="I126" s="182"/>
      <c r="J126" s="182"/>
      <c r="K126" s="182"/>
      <c r="L126" s="182"/>
      <c r="M126" s="182"/>
      <c r="N126" s="182"/>
      <c r="O126" s="182"/>
      <c r="P126" s="182"/>
    </row>
    <row r="127" spans="1:16" s="7" customFormat="1" ht="9.25" customHeight="1" x14ac:dyDescent="0.3">
      <c r="A127" s="11">
        <v>372</v>
      </c>
      <c r="B127" s="10" t="s">
        <v>259</v>
      </c>
      <c r="C127" s="10" t="s">
        <v>172</v>
      </c>
      <c r="D127" s="93">
        <f>227*150/1000</f>
        <v>34.049999999999997</v>
      </c>
      <c r="E127" s="93">
        <f>200*150/1000</f>
        <v>30</v>
      </c>
      <c r="F127" s="93">
        <f>227*180/1000</f>
        <v>40.86</v>
      </c>
      <c r="G127" s="94">
        <f>200*180/1000</f>
        <v>36</v>
      </c>
      <c r="H127" s="182"/>
      <c r="I127" s="182"/>
      <c r="J127" s="182"/>
      <c r="K127" s="182"/>
      <c r="L127" s="182"/>
      <c r="M127" s="182"/>
      <c r="N127" s="182"/>
      <c r="O127" s="182"/>
      <c r="P127" s="182"/>
    </row>
    <row r="128" spans="1:16" s="7" customFormat="1" ht="9.25" customHeight="1" x14ac:dyDescent="0.3">
      <c r="A128" s="92"/>
      <c r="B128" s="10"/>
      <c r="C128" s="10" t="s">
        <v>55</v>
      </c>
      <c r="D128" s="93">
        <f>100*150/1000</f>
        <v>15</v>
      </c>
      <c r="E128" s="93">
        <f>100*150/1000</f>
        <v>15</v>
      </c>
      <c r="F128" s="93">
        <f>100*180/1000</f>
        <v>18</v>
      </c>
      <c r="G128" s="94">
        <f>100*180/1000</f>
        <v>18</v>
      </c>
      <c r="H128" s="182"/>
      <c r="I128" s="182"/>
      <c r="J128" s="182"/>
      <c r="K128" s="182"/>
      <c r="L128" s="182"/>
      <c r="M128" s="182"/>
      <c r="N128" s="182"/>
      <c r="O128" s="182"/>
      <c r="P128" s="182"/>
    </row>
    <row r="129" spans="1:16" s="7" customFormat="1" ht="9.25" customHeight="1" x14ac:dyDescent="0.3">
      <c r="A129" s="92"/>
      <c r="B129" s="10"/>
      <c r="C129" s="10" t="s">
        <v>54</v>
      </c>
      <c r="D129" s="93">
        <f>830*150/1000</f>
        <v>124.5</v>
      </c>
      <c r="E129" s="93">
        <f>830*150/1000</f>
        <v>124.5</v>
      </c>
      <c r="F129" s="93">
        <f>830*180/1000</f>
        <v>149.4</v>
      </c>
      <c r="G129" s="94">
        <f>830*180/1000</f>
        <v>149.4</v>
      </c>
      <c r="H129" s="182"/>
      <c r="I129" s="182"/>
      <c r="J129" s="182"/>
      <c r="K129" s="182"/>
      <c r="L129" s="182"/>
      <c r="M129" s="182"/>
      <c r="N129" s="182"/>
      <c r="O129" s="182"/>
      <c r="P129" s="182"/>
    </row>
    <row r="130" spans="1:16" s="7" customFormat="1" ht="9.25" customHeight="1" x14ac:dyDescent="0.3">
      <c r="A130" s="95">
        <v>1</v>
      </c>
      <c r="B130" s="125" t="s">
        <v>72</v>
      </c>
      <c r="C130" s="588" t="s">
        <v>52</v>
      </c>
      <c r="D130" s="589">
        <v>20</v>
      </c>
      <c r="E130" s="589">
        <v>20</v>
      </c>
      <c r="F130" s="589">
        <v>25</v>
      </c>
      <c r="G130" s="590">
        <v>25</v>
      </c>
      <c r="H130" s="182"/>
      <c r="I130" s="182"/>
      <c r="J130" s="182"/>
      <c r="K130" s="182"/>
      <c r="L130" s="182"/>
      <c r="M130" s="182"/>
      <c r="N130" s="182"/>
      <c r="O130" s="182"/>
      <c r="P130" s="182"/>
    </row>
    <row r="131" spans="1:16" s="7" customFormat="1" ht="9.25" customHeight="1" thickBot="1" x14ac:dyDescent="0.35">
      <c r="A131" s="28">
        <v>1</v>
      </c>
      <c r="B131" s="12" t="s">
        <v>17</v>
      </c>
      <c r="C131" s="124" t="s">
        <v>139</v>
      </c>
      <c r="D131" s="63">
        <v>17</v>
      </c>
      <c r="E131" s="63">
        <v>17</v>
      </c>
      <c r="F131" s="63">
        <v>21</v>
      </c>
      <c r="G131" s="184">
        <v>21</v>
      </c>
      <c r="H131" s="182"/>
      <c r="I131" s="182"/>
      <c r="J131" s="182"/>
      <c r="K131" s="182"/>
      <c r="L131" s="182"/>
      <c r="M131" s="182"/>
      <c r="N131" s="182"/>
      <c r="O131" s="182"/>
      <c r="P131" s="182"/>
    </row>
    <row r="132" spans="1:16" s="7" customFormat="1" ht="9.25" customHeight="1" x14ac:dyDescent="0.3">
      <c r="A132" s="591">
        <v>298</v>
      </c>
      <c r="B132" s="16" t="s">
        <v>112</v>
      </c>
      <c r="C132" s="16" t="s">
        <v>211</v>
      </c>
      <c r="D132" s="660">
        <v>45</v>
      </c>
      <c r="E132" s="660">
        <v>36</v>
      </c>
      <c r="F132" s="660">
        <v>60.5</v>
      </c>
      <c r="G132" s="661">
        <v>48</v>
      </c>
      <c r="H132" s="182"/>
      <c r="I132" s="182"/>
      <c r="J132" s="182"/>
      <c r="K132" s="182"/>
      <c r="L132" s="182"/>
      <c r="M132" s="182"/>
      <c r="N132" s="182"/>
      <c r="O132" s="182"/>
      <c r="P132" s="182"/>
    </row>
    <row r="133" spans="1:16" s="7" customFormat="1" ht="9.25" customHeight="1" x14ac:dyDescent="0.3">
      <c r="A133" s="92"/>
      <c r="B133" s="665" t="s">
        <v>583</v>
      </c>
      <c r="C133" s="19" t="s">
        <v>73</v>
      </c>
      <c r="D133" s="678">
        <f>E133*1.095</f>
        <v>24.637499999999999</v>
      </c>
      <c r="E133" s="678">
        <v>22.5</v>
      </c>
      <c r="F133" s="678">
        <f>G133*1.095</f>
        <v>32.85</v>
      </c>
      <c r="G133" s="679">
        <v>30</v>
      </c>
      <c r="H133" s="182"/>
      <c r="I133" s="182"/>
      <c r="J133" s="182"/>
      <c r="K133" s="182"/>
      <c r="L133" s="182"/>
      <c r="M133" s="182"/>
      <c r="N133" s="182"/>
      <c r="O133" s="182"/>
      <c r="P133" s="182"/>
    </row>
    <row r="134" spans="1:16" s="7" customFormat="1" ht="9.25" customHeight="1" x14ac:dyDescent="0.3">
      <c r="A134" s="92"/>
      <c r="B134" s="10"/>
      <c r="C134" s="19" t="s">
        <v>108</v>
      </c>
      <c r="D134" s="678">
        <v>1.5</v>
      </c>
      <c r="E134" s="678">
        <v>4.3</v>
      </c>
      <c r="F134" s="678">
        <v>4</v>
      </c>
      <c r="G134" s="679">
        <v>11.5</v>
      </c>
      <c r="H134" s="182"/>
      <c r="I134" s="182"/>
      <c r="J134" s="182"/>
      <c r="K134" s="182"/>
      <c r="L134" s="182"/>
      <c r="M134" s="182"/>
      <c r="N134" s="182"/>
      <c r="O134" s="182"/>
      <c r="P134" s="182"/>
    </row>
    <row r="135" spans="1:16" s="7" customFormat="1" ht="9.25" customHeight="1" x14ac:dyDescent="0.3">
      <c r="A135" s="92"/>
      <c r="B135" s="10"/>
      <c r="C135" s="19" t="s">
        <v>60</v>
      </c>
      <c r="D135" s="678">
        <v>6</v>
      </c>
      <c r="E135" s="678">
        <v>5</v>
      </c>
      <c r="F135" s="678">
        <v>8</v>
      </c>
      <c r="G135" s="679">
        <v>6.5</v>
      </c>
      <c r="H135" s="182"/>
      <c r="I135" s="182"/>
      <c r="J135" s="182"/>
      <c r="K135" s="182"/>
      <c r="L135" s="182"/>
      <c r="M135" s="182"/>
      <c r="N135" s="182"/>
      <c r="O135" s="182"/>
      <c r="P135" s="182"/>
    </row>
    <row r="136" spans="1:16" s="7" customFormat="1" ht="9.25" customHeight="1" x14ac:dyDescent="0.3">
      <c r="A136" s="92"/>
      <c r="B136" s="10"/>
      <c r="C136" s="19" t="s">
        <v>136</v>
      </c>
      <c r="D136" s="678">
        <v>1.5</v>
      </c>
      <c r="E136" s="678">
        <v>1.5</v>
      </c>
      <c r="F136" s="678">
        <v>2</v>
      </c>
      <c r="G136" s="679">
        <v>2</v>
      </c>
      <c r="H136" s="182"/>
      <c r="I136" s="182"/>
      <c r="J136" s="182"/>
      <c r="K136" s="182"/>
      <c r="L136" s="182"/>
      <c r="M136" s="182"/>
      <c r="N136" s="182"/>
      <c r="O136" s="182"/>
      <c r="P136" s="182"/>
    </row>
    <row r="137" spans="1:16" s="7" customFormat="1" ht="9.25" customHeight="1" x14ac:dyDescent="0.3">
      <c r="A137" s="92"/>
      <c r="B137" s="10"/>
      <c r="C137" s="574" t="s">
        <v>248</v>
      </c>
      <c r="D137" s="680"/>
      <c r="E137" s="680">
        <v>5</v>
      </c>
      <c r="F137" s="680"/>
      <c r="G137" s="681">
        <v>7</v>
      </c>
      <c r="H137" s="182"/>
      <c r="I137" s="182"/>
      <c r="J137" s="182"/>
      <c r="K137" s="182"/>
      <c r="L137" s="182"/>
      <c r="M137" s="182"/>
      <c r="N137" s="182"/>
      <c r="O137" s="182"/>
      <c r="P137" s="182"/>
    </row>
    <row r="138" spans="1:16" s="7" customFormat="1" ht="9.25" customHeight="1" x14ac:dyDescent="0.3">
      <c r="A138" s="92"/>
      <c r="B138" s="10"/>
      <c r="C138" s="19" t="s">
        <v>121</v>
      </c>
      <c r="D138" s="678">
        <v>2</v>
      </c>
      <c r="E138" s="678">
        <v>2</v>
      </c>
      <c r="F138" s="678">
        <v>2.5</v>
      </c>
      <c r="G138" s="679">
        <v>2.5</v>
      </c>
      <c r="H138" s="182"/>
      <c r="I138" s="182"/>
      <c r="J138" s="182"/>
      <c r="K138" s="182"/>
      <c r="L138" s="182"/>
      <c r="M138" s="182"/>
      <c r="N138" s="182"/>
      <c r="O138" s="182"/>
      <c r="P138" s="182"/>
    </row>
    <row r="139" spans="1:16" s="7" customFormat="1" ht="9.25" customHeight="1" x14ac:dyDescent="0.3">
      <c r="A139" s="92"/>
      <c r="B139" s="10"/>
      <c r="C139" s="574" t="s">
        <v>182</v>
      </c>
      <c r="D139" s="680"/>
      <c r="E139" s="680">
        <v>72.5</v>
      </c>
      <c r="F139" s="680"/>
      <c r="G139" s="681">
        <v>96.5</v>
      </c>
      <c r="H139" s="182"/>
      <c r="I139" s="182"/>
      <c r="J139" s="182"/>
      <c r="K139" s="182"/>
      <c r="L139" s="182"/>
      <c r="M139" s="182"/>
      <c r="N139" s="182"/>
      <c r="O139" s="182"/>
      <c r="P139" s="182"/>
    </row>
    <row r="140" spans="1:16" s="7" customFormat="1" ht="9.25" customHeight="1" x14ac:dyDescent="0.3">
      <c r="A140" s="155" t="s">
        <v>569</v>
      </c>
      <c r="B140" s="19" t="s">
        <v>571</v>
      </c>
      <c r="C140" s="19" t="s">
        <v>249</v>
      </c>
      <c r="D140" s="576"/>
      <c r="E140" s="576">
        <v>15</v>
      </c>
      <c r="F140" s="576"/>
      <c r="G140" s="585">
        <v>30</v>
      </c>
      <c r="H140" s="182"/>
      <c r="I140" s="182"/>
      <c r="J140" s="182"/>
      <c r="K140" s="182"/>
      <c r="L140" s="182"/>
      <c r="M140" s="182"/>
      <c r="N140" s="182"/>
      <c r="O140" s="182"/>
      <c r="P140" s="182"/>
    </row>
    <row r="141" spans="1:16" s="7" customFormat="1" ht="9.25" customHeight="1" x14ac:dyDescent="0.3">
      <c r="A141" s="92"/>
      <c r="B141" s="10"/>
      <c r="C141" s="19" t="s">
        <v>136</v>
      </c>
      <c r="D141" s="96">
        <f>E140*45/1000</f>
        <v>0.67500000000000004</v>
      </c>
      <c r="E141" s="96">
        <f>E140*45/1000</f>
        <v>0.67500000000000004</v>
      </c>
      <c r="F141" s="96">
        <f>G140*45/1000</f>
        <v>1.35</v>
      </c>
      <c r="G141" s="96">
        <f>G140*45/1000</f>
        <v>1.35</v>
      </c>
      <c r="H141" s="182"/>
      <c r="I141" s="182"/>
      <c r="J141" s="182"/>
      <c r="K141" s="182"/>
      <c r="L141" s="182"/>
      <c r="M141" s="182"/>
      <c r="N141" s="182"/>
      <c r="O141" s="182"/>
      <c r="P141" s="182"/>
    </row>
    <row r="142" spans="1:16" s="7" customFormat="1" ht="9.25" customHeight="1" x14ac:dyDescent="0.3">
      <c r="A142" s="92"/>
      <c r="B142" s="10"/>
      <c r="C142" s="19" t="s">
        <v>66</v>
      </c>
      <c r="D142" s="96">
        <f>45*E140/1000</f>
        <v>0.67500000000000004</v>
      </c>
      <c r="E142" s="96">
        <f>45*E140/1000</f>
        <v>0.67500000000000004</v>
      </c>
      <c r="F142" s="96">
        <f>45*G140/1000</f>
        <v>1.35</v>
      </c>
      <c r="G142" s="96">
        <f>45*G140/1000</f>
        <v>1.35</v>
      </c>
      <c r="H142" s="182"/>
      <c r="I142" s="182"/>
      <c r="J142" s="182"/>
      <c r="K142" s="182"/>
      <c r="L142" s="182"/>
      <c r="M142" s="182"/>
      <c r="N142" s="182"/>
      <c r="O142" s="182"/>
      <c r="P142" s="182"/>
    </row>
    <row r="143" spans="1:16" s="7" customFormat="1" ht="9.25" customHeight="1" x14ac:dyDescent="0.3">
      <c r="A143" s="92"/>
      <c r="B143" s="10"/>
      <c r="C143" s="19" t="s">
        <v>572</v>
      </c>
      <c r="D143" s="96">
        <f>1000*E140/1000</f>
        <v>15</v>
      </c>
      <c r="E143" s="96">
        <f>1000*E140/1000</f>
        <v>15</v>
      </c>
      <c r="F143" s="96">
        <f>1000*G140/1000</f>
        <v>30</v>
      </c>
      <c r="G143" s="587">
        <f>1000*G140/1000</f>
        <v>30</v>
      </c>
      <c r="H143" s="182"/>
      <c r="I143" s="182"/>
      <c r="J143" s="182"/>
      <c r="K143" s="182"/>
      <c r="L143" s="182"/>
      <c r="M143" s="182"/>
      <c r="N143" s="182"/>
      <c r="O143" s="182"/>
      <c r="P143" s="182"/>
    </row>
    <row r="144" spans="1:16" s="7" customFormat="1" ht="9.25" customHeight="1" x14ac:dyDescent="0.3">
      <c r="A144" s="92"/>
      <c r="B144" s="10"/>
      <c r="C144" s="19" t="s">
        <v>105</v>
      </c>
      <c r="D144" s="96">
        <v>0</v>
      </c>
      <c r="E144" s="96">
        <v>0</v>
      </c>
      <c r="F144" s="96">
        <f>60*G140/1000*0.4</f>
        <v>0.72000000000000008</v>
      </c>
      <c r="G144" s="96">
        <f>60*G140/1000*0.4</f>
        <v>0.72000000000000008</v>
      </c>
      <c r="H144" s="182"/>
      <c r="I144" s="182"/>
      <c r="J144" s="182"/>
      <c r="K144" s="182"/>
      <c r="L144" s="182"/>
      <c r="M144" s="182"/>
      <c r="N144" s="182"/>
      <c r="O144" s="182"/>
      <c r="P144" s="182"/>
    </row>
    <row r="145" spans="1:16" s="7" customFormat="1" ht="9.25" customHeight="1" x14ac:dyDescent="0.3">
      <c r="A145" s="92"/>
      <c r="B145" s="10"/>
      <c r="C145" s="19" t="s">
        <v>56</v>
      </c>
      <c r="D145" s="96">
        <f>8*E140/1000</f>
        <v>0.12</v>
      </c>
      <c r="E145" s="96">
        <f>8*E140/1000</f>
        <v>0.12</v>
      </c>
      <c r="F145" s="96">
        <f>8*G140/1000</f>
        <v>0.24</v>
      </c>
      <c r="G145" s="587">
        <f>8*G140/1000</f>
        <v>0.24</v>
      </c>
      <c r="H145" s="182"/>
      <c r="I145" s="182"/>
      <c r="J145" s="182"/>
      <c r="K145" s="182"/>
      <c r="L145" s="182"/>
      <c r="M145" s="182"/>
      <c r="N145" s="182"/>
      <c r="O145" s="182"/>
      <c r="P145" s="182"/>
    </row>
    <row r="146" spans="1:16" s="7" customFormat="1" ht="9.25" customHeight="1" x14ac:dyDescent="0.3">
      <c r="A146" s="92" t="s">
        <v>295</v>
      </c>
      <c r="B146" s="10"/>
      <c r="C146" s="10" t="s">
        <v>62</v>
      </c>
      <c r="D146" s="93">
        <f>75*E140/1000</f>
        <v>1.125</v>
      </c>
      <c r="E146" s="93">
        <f>75*E140/1000</f>
        <v>1.125</v>
      </c>
      <c r="F146" s="93">
        <f>75*G140/1000</f>
        <v>2.25</v>
      </c>
      <c r="G146" s="93">
        <f>75*G140/1000</f>
        <v>2.25</v>
      </c>
      <c r="H146" s="182"/>
      <c r="I146" s="182"/>
      <c r="J146" s="182"/>
      <c r="K146" s="182"/>
      <c r="L146" s="182"/>
      <c r="M146" s="182"/>
      <c r="N146" s="182"/>
      <c r="O146" s="182"/>
      <c r="P146" s="182"/>
    </row>
    <row r="147" spans="1:16" s="7" customFormat="1" ht="9.25" customHeight="1" x14ac:dyDescent="0.3">
      <c r="A147" s="92"/>
      <c r="B147" s="10"/>
      <c r="C147" s="10" t="s">
        <v>60</v>
      </c>
      <c r="D147" s="93">
        <f>34*E140/1000</f>
        <v>0.51</v>
      </c>
      <c r="E147" s="93">
        <f>34*E140/1000</f>
        <v>0.51</v>
      </c>
      <c r="F147" s="93">
        <f>34*G140/1000</f>
        <v>1.02</v>
      </c>
      <c r="G147" s="93">
        <f>34*G140/1000</f>
        <v>1.02</v>
      </c>
      <c r="H147" s="182"/>
      <c r="I147" s="182"/>
      <c r="J147" s="182"/>
      <c r="K147" s="182"/>
      <c r="L147" s="182"/>
      <c r="M147" s="182"/>
      <c r="N147" s="182"/>
      <c r="O147" s="182"/>
      <c r="P147" s="182"/>
    </row>
    <row r="148" spans="1:16" s="7" customFormat="1" ht="9.25" customHeight="1" x14ac:dyDescent="0.3">
      <c r="A148" s="92"/>
      <c r="B148" s="10"/>
      <c r="C148" s="10" t="s">
        <v>171</v>
      </c>
      <c r="D148" s="93">
        <f>13*E140/1000</f>
        <v>0.19500000000000001</v>
      </c>
      <c r="E148" s="93">
        <f>13*E140/1000</f>
        <v>0.19500000000000001</v>
      </c>
      <c r="F148" s="93">
        <f>13*G140/1000</f>
        <v>0.39</v>
      </c>
      <c r="G148" s="93">
        <f>13*G140/1000</f>
        <v>0.39</v>
      </c>
      <c r="H148" s="182"/>
      <c r="I148" s="182"/>
      <c r="J148" s="182"/>
      <c r="K148" s="182"/>
      <c r="L148" s="182"/>
      <c r="M148" s="182"/>
      <c r="N148" s="182"/>
      <c r="O148" s="182"/>
      <c r="P148" s="182"/>
    </row>
    <row r="149" spans="1:16" s="7" customFormat="1" ht="9.25" customHeight="1" x14ac:dyDescent="0.3">
      <c r="A149" s="92"/>
      <c r="B149" s="10"/>
      <c r="C149" s="10" t="s">
        <v>136</v>
      </c>
      <c r="D149" s="93">
        <f>15*E140/1000</f>
        <v>0.22500000000000001</v>
      </c>
      <c r="E149" s="93">
        <f>15*E140/1000</f>
        <v>0.22500000000000001</v>
      </c>
      <c r="F149" s="93">
        <f>15*G140/1000</f>
        <v>0.45</v>
      </c>
      <c r="G149" s="93">
        <f>15*G140/1000</f>
        <v>0.45</v>
      </c>
      <c r="H149" s="182"/>
      <c r="I149" s="182"/>
      <c r="J149" s="182"/>
      <c r="K149" s="182"/>
      <c r="L149" s="182"/>
      <c r="M149" s="182"/>
      <c r="N149" s="182"/>
      <c r="O149" s="182"/>
      <c r="P149" s="182"/>
    </row>
    <row r="150" spans="1:16" s="7" customFormat="1" ht="9.25" customHeight="1" x14ac:dyDescent="0.3">
      <c r="A150" s="92"/>
      <c r="B150" s="10"/>
      <c r="C150" s="10" t="s">
        <v>55</v>
      </c>
      <c r="D150" s="93">
        <f>10*E140/1000</f>
        <v>0.15</v>
      </c>
      <c r="E150" s="93">
        <f>10*E140/1000</f>
        <v>0.15</v>
      </c>
      <c r="F150" s="93">
        <f>10*G140/1000</f>
        <v>0.3</v>
      </c>
      <c r="G150" s="93">
        <f>10*G140/1000</f>
        <v>0.3</v>
      </c>
      <c r="H150" s="182"/>
      <c r="I150" s="182"/>
      <c r="J150" s="182"/>
      <c r="K150" s="182"/>
      <c r="L150" s="182"/>
      <c r="M150" s="182"/>
      <c r="N150" s="182"/>
      <c r="O150" s="182"/>
      <c r="P150" s="182"/>
    </row>
    <row r="151" spans="1:16" ht="9.25" customHeight="1" x14ac:dyDescent="0.3">
      <c r="A151" s="92"/>
      <c r="B151" s="10"/>
      <c r="C151" s="10" t="s">
        <v>56</v>
      </c>
      <c r="D151" s="93">
        <f>10*E140/1000</f>
        <v>0.15</v>
      </c>
      <c r="E151" s="93">
        <f>10*E140/1000</f>
        <v>0.15</v>
      </c>
      <c r="F151" s="93">
        <f>10*G140/1000</f>
        <v>0.3</v>
      </c>
      <c r="G151" s="93">
        <f>10*G140/1000</f>
        <v>0.3</v>
      </c>
    </row>
    <row r="152" spans="1:16" ht="9.25" customHeight="1" x14ac:dyDescent="0.3">
      <c r="A152" s="92">
        <v>1</v>
      </c>
      <c r="B152" s="10" t="s">
        <v>17</v>
      </c>
      <c r="C152" s="19" t="s">
        <v>139</v>
      </c>
      <c r="D152" s="93">
        <v>17</v>
      </c>
      <c r="E152" s="93">
        <v>17</v>
      </c>
      <c r="F152" s="93">
        <v>21</v>
      </c>
      <c r="G152" s="94">
        <v>21</v>
      </c>
    </row>
    <row r="153" spans="1:16" ht="24" customHeight="1" x14ac:dyDescent="0.3">
      <c r="A153" s="11">
        <v>400</v>
      </c>
      <c r="B153" s="10" t="s">
        <v>390</v>
      </c>
      <c r="C153" s="10" t="s">
        <v>114</v>
      </c>
      <c r="D153" s="93">
        <v>158</v>
      </c>
      <c r="E153" s="93">
        <v>150</v>
      </c>
      <c r="F153" s="93">
        <v>189</v>
      </c>
      <c r="G153" s="94">
        <v>180</v>
      </c>
    </row>
    <row r="154" spans="1:16" ht="1.1499999999999999" customHeight="1" thickBot="1" x14ac:dyDescent="0.35">
      <c r="A154" s="592"/>
      <c r="B154" s="12"/>
      <c r="C154" s="12"/>
      <c r="D154" s="63"/>
      <c r="E154" s="63"/>
      <c r="F154" s="63"/>
      <c r="G154" s="184"/>
    </row>
    <row r="155" spans="1:16" ht="14.5" customHeight="1" thickBot="1" x14ac:dyDescent="0.35">
      <c r="A155" s="156"/>
      <c r="B155" s="878" t="s">
        <v>584</v>
      </c>
      <c r="C155" s="156"/>
      <c r="D155" s="877" t="s">
        <v>69</v>
      </c>
      <c r="E155" s="874"/>
      <c r="F155" s="873" t="s">
        <v>70</v>
      </c>
      <c r="G155" s="874"/>
    </row>
    <row r="156" spans="1:16" ht="10.5" customHeight="1" thickBot="1" x14ac:dyDescent="0.35">
      <c r="A156" s="175" t="s">
        <v>131</v>
      </c>
      <c r="B156" s="879"/>
      <c r="C156" s="225"/>
      <c r="D156" s="173" t="s">
        <v>91</v>
      </c>
      <c r="E156" s="174" t="s">
        <v>46</v>
      </c>
      <c r="F156" s="173" t="s">
        <v>91</v>
      </c>
      <c r="G156" s="174" t="s">
        <v>46</v>
      </c>
    </row>
    <row r="157" spans="1:16" ht="10.5" customHeight="1" x14ac:dyDescent="0.3">
      <c r="A157" s="509">
        <v>185</v>
      </c>
      <c r="B157" s="16" t="s">
        <v>491</v>
      </c>
      <c r="C157" s="16" t="s">
        <v>114</v>
      </c>
      <c r="D157" s="660">
        <f>880*130/1000</f>
        <v>114.4</v>
      </c>
      <c r="E157" s="660">
        <f>880*130/1000</f>
        <v>114.4</v>
      </c>
      <c r="F157" s="660">
        <f>880*150/1000</f>
        <v>132</v>
      </c>
      <c r="G157" s="661">
        <f>880*150/1000</f>
        <v>132</v>
      </c>
    </row>
    <row r="158" spans="1:16" ht="10.5" customHeight="1" x14ac:dyDescent="0.3">
      <c r="A158" s="92"/>
      <c r="B158" s="10"/>
      <c r="C158" s="10" t="s">
        <v>135</v>
      </c>
      <c r="D158" s="662">
        <f>D157*0.12</f>
        <v>13.728</v>
      </c>
      <c r="E158" s="662">
        <f>E157*0.12</f>
        <v>13.728</v>
      </c>
      <c r="F158" s="662">
        <f>F157*0.12</f>
        <v>15.84</v>
      </c>
      <c r="G158" s="663">
        <f>G157*0.12</f>
        <v>15.84</v>
      </c>
    </row>
    <row r="159" spans="1:16" ht="10.5" customHeight="1" x14ac:dyDescent="0.3">
      <c r="A159" s="92" t="s">
        <v>133</v>
      </c>
      <c r="B159" s="665" t="s">
        <v>579</v>
      </c>
      <c r="C159" s="10" t="s">
        <v>57</v>
      </c>
      <c r="D159" s="662">
        <v>5</v>
      </c>
      <c r="E159" s="662">
        <v>5</v>
      </c>
      <c r="F159" s="662">
        <v>5</v>
      </c>
      <c r="G159" s="663">
        <v>5</v>
      </c>
    </row>
    <row r="160" spans="1:16" ht="10.5" customHeight="1" x14ac:dyDescent="0.3">
      <c r="A160" s="92"/>
      <c r="B160" s="10"/>
      <c r="C160" s="10" t="s">
        <v>55</v>
      </c>
      <c r="D160" s="662">
        <v>5</v>
      </c>
      <c r="E160" s="662">
        <v>5</v>
      </c>
      <c r="F160" s="662">
        <v>5</v>
      </c>
      <c r="G160" s="663">
        <v>5</v>
      </c>
    </row>
    <row r="161" spans="1:7" ht="10.5" customHeight="1" x14ac:dyDescent="0.3">
      <c r="A161" s="92"/>
      <c r="B161" s="10"/>
      <c r="C161" s="10" t="s">
        <v>93</v>
      </c>
      <c r="D161" s="662">
        <f>154*130/1000</f>
        <v>20.02</v>
      </c>
      <c r="E161" s="662">
        <f>154*130/1000</f>
        <v>20.02</v>
      </c>
      <c r="F161" s="662">
        <f>154*150/1000</f>
        <v>23.1</v>
      </c>
      <c r="G161" s="663">
        <f>154*150/1000</f>
        <v>23.1</v>
      </c>
    </row>
    <row r="162" spans="1:7" ht="10.5" customHeight="1" x14ac:dyDescent="0.3">
      <c r="A162" s="92"/>
      <c r="B162" s="10"/>
      <c r="C162" s="10" t="s">
        <v>221</v>
      </c>
      <c r="D162" s="662">
        <f>D157-D158</f>
        <v>100.67200000000001</v>
      </c>
      <c r="E162" s="662">
        <f>E157-E158</f>
        <v>100.67200000000001</v>
      </c>
      <c r="F162" s="662">
        <f>F157-F158</f>
        <v>116.16</v>
      </c>
      <c r="G162" s="663">
        <f>G157-G158</f>
        <v>116.16</v>
      </c>
    </row>
    <row r="163" spans="1:7" ht="10.5" customHeight="1" x14ac:dyDescent="0.3">
      <c r="A163" s="11">
        <v>3</v>
      </c>
      <c r="B163" s="10" t="s">
        <v>492</v>
      </c>
      <c r="C163" s="10" t="s">
        <v>284</v>
      </c>
      <c r="D163" s="93">
        <v>24</v>
      </c>
      <c r="E163" s="93">
        <v>24</v>
      </c>
      <c r="F163" s="93">
        <v>30</v>
      </c>
      <c r="G163" s="94">
        <v>30</v>
      </c>
    </row>
    <row r="164" spans="1:7" ht="10.5" customHeight="1" x14ac:dyDescent="0.3">
      <c r="A164" s="139">
        <v>7</v>
      </c>
      <c r="B164" s="10" t="s">
        <v>623</v>
      </c>
      <c r="C164" s="10" t="s">
        <v>0</v>
      </c>
      <c r="D164" s="93">
        <f>10.6*5/10</f>
        <v>5.3</v>
      </c>
      <c r="E164" s="93">
        <v>5</v>
      </c>
      <c r="F164" s="93">
        <f>10.6*5/10</f>
        <v>5.3</v>
      </c>
      <c r="G164" s="94">
        <v>5</v>
      </c>
    </row>
    <row r="165" spans="1:7" ht="10.5" customHeight="1" x14ac:dyDescent="0.3">
      <c r="A165" s="11">
        <v>397</v>
      </c>
      <c r="B165" s="10" t="s">
        <v>53</v>
      </c>
      <c r="C165" s="10" t="s">
        <v>230</v>
      </c>
      <c r="D165" s="93">
        <v>2</v>
      </c>
      <c r="E165" s="93">
        <v>2</v>
      </c>
      <c r="F165" s="93">
        <v>3</v>
      </c>
      <c r="G165" s="94">
        <v>3</v>
      </c>
    </row>
    <row r="166" spans="1:7" ht="10.5" customHeight="1" x14ac:dyDescent="0.3">
      <c r="A166" s="92"/>
      <c r="B166" s="10" t="s">
        <v>59</v>
      </c>
      <c r="C166" s="10" t="s">
        <v>294</v>
      </c>
      <c r="D166" s="93">
        <v>65</v>
      </c>
      <c r="E166" s="93">
        <v>65</v>
      </c>
      <c r="F166" s="93">
        <v>80</v>
      </c>
      <c r="G166" s="94">
        <v>80</v>
      </c>
    </row>
    <row r="167" spans="1:7" ht="10.5" customHeight="1" x14ac:dyDescent="0.3">
      <c r="A167" s="92"/>
      <c r="B167" s="10"/>
      <c r="C167" s="10" t="s">
        <v>55</v>
      </c>
      <c r="D167" s="93">
        <v>8</v>
      </c>
      <c r="E167" s="93">
        <v>8</v>
      </c>
      <c r="F167" s="93">
        <v>10</v>
      </c>
      <c r="G167" s="94">
        <v>10</v>
      </c>
    </row>
    <row r="168" spans="1:7" ht="10.5" customHeight="1" x14ac:dyDescent="0.3">
      <c r="A168" s="92"/>
      <c r="B168" s="10"/>
      <c r="C168" s="10" t="s">
        <v>51</v>
      </c>
      <c r="D168" s="93">
        <v>92</v>
      </c>
      <c r="E168" s="93">
        <v>92</v>
      </c>
      <c r="F168" s="93">
        <v>110</v>
      </c>
      <c r="G168" s="94">
        <v>110</v>
      </c>
    </row>
    <row r="169" spans="1:7" ht="10.5" customHeight="1" thickBot="1" x14ac:dyDescent="0.35">
      <c r="A169" s="28"/>
      <c r="B169" s="12"/>
      <c r="C169" s="12" t="s">
        <v>135</v>
      </c>
      <c r="D169" s="63">
        <f>D168*0.12</f>
        <v>11.04</v>
      </c>
      <c r="E169" s="63">
        <f>E168*0.12</f>
        <v>11.04</v>
      </c>
      <c r="F169" s="63">
        <f>F168*0.12</f>
        <v>13.2</v>
      </c>
      <c r="G169" s="184">
        <f>G168*0.12</f>
        <v>13.2</v>
      </c>
    </row>
    <row r="170" spans="1:7" ht="10.5" customHeight="1" thickBot="1" x14ac:dyDescent="0.35">
      <c r="A170" s="47">
        <v>399</v>
      </c>
      <c r="B170" s="48" t="s">
        <v>84</v>
      </c>
      <c r="C170" s="48" t="s">
        <v>47</v>
      </c>
      <c r="D170" s="666">
        <v>200</v>
      </c>
      <c r="E170" s="666">
        <v>200</v>
      </c>
      <c r="F170" s="666">
        <v>180</v>
      </c>
      <c r="G170" s="667">
        <v>180</v>
      </c>
    </row>
    <row r="171" spans="1:7" ht="10.5" customHeight="1" x14ac:dyDescent="0.3">
      <c r="A171" s="509">
        <v>22</v>
      </c>
      <c r="B171" s="16" t="s">
        <v>382</v>
      </c>
      <c r="C171" s="16" t="s">
        <v>132</v>
      </c>
      <c r="D171" s="660">
        <f>375*30/1000</f>
        <v>11.25</v>
      </c>
      <c r="E171" s="660">
        <f>300*30/1000</f>
        <v>9</v>
      </c>
      <c r="F171" s="660">
        <f>375*50/1000</f>
        <v>18.75</v>
      </c>
      <c r="G171" s="661">
        <f>300*50/1000</f>
        <v>15</v>
      </c>
    </row>
    <row r="172" spans="1:7" ht="10.5" customHeight="1" x14ac:dyDescent="0.3">
      <c r="A172" s="536"/>
      <c r="B172" s="10"/>
      <c r="C172" s="10" t="s">
        <v>163</v>
      </c>
      <c r="D172" s="662">
        <f>E172*1.33</f>
        <v>15.96</v>
      </c>
      <c r="E172" s="662">
        <f>400*30/1000</f>
        <v>12</v>
      </c>
      <c r="F172" s="662">
        <f>G172*1.33</f>
        <v>26.6</v>
      </c>
      <c r="G172" s="663">
        <f>400*50/1000</f>
        <v>20</v>
      </c>
    </row>
    <row r="173" spans="1:7" ht="10.5" customHeight="1" x14ac:dyDescent="0.3">
      <c r="A173" s="536"/>
      <c r="B173" s="665" t="s">
        <v>580</v>
      </c>
      <c r="C173" s="10" t="s">
        <v>164</v>
      </c>
      <c r="D173" s="662">
        <f>E173*1.43</f>
        <v>17.16</v>
      </c>
      <c r="E173" s="662">
        <f>400*30/1000</f>
        <v>12</v>
      </c>
      <c r="F173" s="662">
        <f>G173*1.43</f>
        <v>28.599999999999998</v>
      </c>
      <c r="G173" s="663">
        <f>400*50/1000</f>
        <v>20</v>
      </c>
    </row>
    <row r="174" spans="1:7" ht="10.5" customHeight="1" x14ac:dyDescent="0.3">
      <c r="A174" s="536"/>
      <c r="B174" s="10"/>
      <c r="C174" s="10" t="s">
        <v>165</v>
      </c>
      <c r="D174" s="662">
        <f>E174*1.54</f>
        <v>18.48</v>
      </c>
      <c r="E174" s="662">
        <f>400*30/1000</f>
        <v>12</v>
      </c>
      <c r="F174" s="662">
        <f>G174*1.54</f>
        <v>30.8</v>
      </c>
      <c r="G174" s="663">
        <f>400*50/1000</f>
        <v>20</v>
      </c>
    </row>
    <row r="175" spans="1:7" ht="10.5" customHeight="1" x14ac:dyDescent="0.3">
      <c r="A175" s="536"/>
      <c r="B175" s="10"/>
      <c r="C175" s="10" t="s">
        <v>166</v>
      </c>
      <c r="D175" s="662">
        <f>E175*1.67</f>
        <v>20.04</v>
      </c>
      <c r="E175" s="662">
        <f>400*30/1000</f>
        <v>12</v>
      </c>
      <c r="F175" s="662">
        <f>G175*1.67</f>
        <v>33.4</v>
      </c>
      <c r="G175" s="663">
        <f>400*50/1000</f>
        <v>20</v>
      </c>
    </row>
    <row r="176" spans="1:7" ht="10.5" customHeight="1" x14ac:dyDescent="0.3">
      <c r="A176" s="536"/>
      <c r="B176" s="10"/>
      <c r="C176" s="19" t="s">
        <v>198</v>
      </c>
      <c r="D176" s="662">
        <f>E176*1.25</f>
        <v>15</v>
      </c>
      <c r="E176" s="662">
        <f>400*30/1000</f>
        <v>12</v>
      </c>
      <c r="F176" s="662">
        <f>G176*1.25</f>
        <v>25</v>
      </c>
      <c r="G176" s="663">
        <f>400*50/1000</f>
        <v>20</v>
      </c>
    </row>
    <row r="177" spans="1:7" ht="10.5" customHeight="1" x14ac:dyDescent="0.3">
      <c r="A177" s="536"/>
      <c r="B177" s="10"/>
      <c r="C177" s="10" t="s">
        <v>62</v>
      </c>
      <c r="D177" s="662">
        <f>256*30/1000</f>
        <v>7.68</v>
      </c>
      <c r="E177" s="662">
        <f>200*30/1000</f>
        <v>6</v>
      </c>
      <c r="F177" s="662">
        <f>256*50/1000</f>
        <v>12.8</v>
      </c>
      <c r="G177" s="663">
        <f>200*50/1000</f>
        <v>10</v>
      </c>
    </row>
    <row r="178" spans="1:7" ht="10.5" customHeight="1" x14ac:dyDescent="0.3">
      <c r="A178" s="536"/>
      <c r="B178" s="10"/>
      <c r="C178" s="10" t="s">
        <v>200</v>
      </c>
      <c r="D178" s="662">
        <f>63*30/1000</f>
        <v>1.89</v>
      </c>
      <c r="E178" s="662">
        <f>50*30/1000</f>
        <v>1.5</v>
      </c>
      <c r="F178" s="662">
        <f>63*50/1000</f>
        <v>3.15</v>
      </c>
      <c r="G178" s="663">
        <f>50*50/1000</f>
        <v>2.5</v>
      </c>
    </row>
    <row r="179" spans="1:7" ht="10.5" customHeight="1" x14ac:dyDescent="0.3">
      <c r="A179" s="536"/>
      <c r="B179" s="10"/>
      <c r="C179" s="10" t="s">
        <v>103</v>
      </c>
      <c r="D179" s="662">
        <f>50*30/1000</f>
        <v>1.5</v>
      </c>
      <c r="E179" s="662">
        <f>50*30/1000</f>
        <v>1.5</v>
      </c>
      <c r="F179" s="662">
        <f>50*50/1000</f>
        <v>2.5</v>
      </c>
      <c r="G179" s="663">
        <f>50*50/1000</f>
        <v>2.5</v>
      </c>
    </row>
    <row r="180" spans="1:7" ht="10.5" customHeight="1" x14ac:dyDescent="0.3">
      <c r="A180" s="11">
        <v>58</v>
      </c>
      <c r="B180" s="10" t="s">
        <v>250</v>
      </c>
      <c r="C180" s="148" t="s">
        <v>103</v>
      </c>
      <c r="D180" s="662">
        <f>10*150/1000</f>
        <v>1.5</v>
      </c>
      <c r="E180" s="662">
        <f>10*150/1000</f>
        <v>1.5</v>
      </c>
      <c r="F180" s="662">
        <f>10*180/1000</f>
        <v>1.8</v>
      </c>
      <c r="G180" s="663">
        <f>10*180/1000</f>
        <v>1.8</v>
      </c>
    </row>
    <row r="181" spans="1:7" ht="10.5" customHeight="1" x14ac:dyDescent="0.3">
      <c r="A181" s="92"/>
      <c r="B181" s="10"/>
      <c r="C181" s="148" t="s">
        <v>55</v>
      </c>
      <c r="D181" s="662">
        <f>6*150/1000</f>
        <v>0.9</v>
      </c>
      <c r="E181" s="662">
        <f>6*150/1000</f>
        <v>0.9</v>
      </c>
      <c r="F181" s="662">
        <f>6*180/1000</f>
        <v>1.08</v>
      </c>
      <c r="G181" s="663">
        <f>6*180/1000</f>
        <v>1.08</v>
      </c>
    </row>
    <row r="182" spans="1:7" ht="10.5" customHeight="1" x14ac:dyDescent="0.3">
      <c r="A182" s="92"/>
      <c r="B182" s="665" t="s">
        <v>585</v>
      </c>
      <c r="C182" s="10" t="s">
        <v>104</v>
      </c>
      <c r="D182" s="662">
        <f>205*150/1000</f>
        <v>30.75</v>
      </c>
      <c r="E182" s="662">
        <f>160*150/1000</f>
        <v>24</v>
      </c>
      <c r="F182" s="662">
        <f>205*180/1000</f>
        <v>36.9</v>
      </c>
      <c r="G182" s="663">
        <f>160*180/1000</f>
        <v>28.8</v>
      </c>
    </row>
    <row r="183" spans="1:7" ht="10.5" customHeight="1" x14ac:dyDescent="0.3">
      <c r="A183" s="92"/>
      <c r="B183" s="10"/>
      <c r="C183" s="10" t="s">
        <v>62</v>
      </c>
      <c r="D183" s="662">
        <f>63*150/1000</f>
        <v>9.4499999999999993</v>
      </c>
      <c r="E183" s="662">
        <f>50*150/1000</f>
        <v>7.5</v>
      </c>
      <c r="F183" s="662">
        <f>63*180/1000</f>
        <v>11.34</v>
      </c>
      <c r="G183" s="663">
        <f>50*180/1000</f>
        <v>9</v>
      </c>
    </row>
    <row r="184" spans="1:7" ht="10.5" customHeight="1" x14ac:dyDescent="0.3">
      <c r="A184" s="92"/>
      <c r="B184" s="10"/>
      <c r="C184" s="10" t="s">
        <v>60</v>
      </c>
      <c r="D184" s="662">
        <f>48*150/1000</f>
        <v>7.2</v>
      </c>
      <c r="E184" s="662">
        <f>40*150/1000</f>
        <v>6</v>
      </c>
      <c r="F184" s="662">
        <f>48*180/1000</f>
        <v>8.64</v>
      </c>
      <c r="G184" s="663">
        <f>40*180/1000</f>
        <v>7.2</v>
      </c>
    </row>
    <row r="185" spans="1:7" ht="10.5" customHeight="1" x14ac:dyDescent="0.3">
      <c r="A185" s="92"/>
      <c r="B185" s="10"/>
      <c r="C185" s="10" t="s">
        <v>163</v>
      </c>
      <c r="D185" s="662">
        <f>E185*1.33</f>
        <v>39.900000000000006</v>
      </c>
      <c r="E185" s="662">
        <f>200*150/1000</f>
        <v>30</v>
      </c>
      <c r="F185" s="662">
        <f>G185*1.33</f>
        <v>47.88</v>
      </c>
      <c r="G185" s="663">
        <f>200*180/1000</f>
        <v>36</v>
      </c>
    </row>
    <row r="186" spans="1:7" ht="10.5" customHeight="1" x14ac:dyDescent="0.3">
      <c r="A186" s="92"/>
      <c r="B186" s="10"/>
      <c r="C186" s="10" t="s">
        <v>164</v>
      </c>
      <c r="D186" s="662">
        <f>E186*1.43</f>
        <v>42.9</v>
      </c>
      <c r="E186" s="662">
        <f>200*150/1000</f>
        <v>30</v>
      </c>
      <c r="F186" s="662">
        <f>G186*1.43</f>
        <v>51.48</v>
      </c>
      <c r="G186" s="663">
        <f>200*180/1000</f>
        <v>36</v>
      </c>
    </row>
    <row r="187" spans="1:7" ht="10.5" customHeight="1" x14ac:dyDescent="0.3">
      <c r="A187" s="92"/>
      <c r="B187" s="10"/>
      <c r="C187" s="10" t="s">
        <v>165</v>
      </c>
      <c r="D187" s="662">
        <f>E187*1.54</f>
        <v>46.2</v>
      </c>
      <c r="E187" s="662">
        <f>200*150/1000</f>
        <v>30</v>
      </c>
      <c r="F187" s="662">
        <f>G187*1.54</f>
        <v>55.44</v>
      </c>
      <c r="G187" s="663">
        <f>200*180/1000</f>
        <v>36</v>
      </c>
    </row>
    <row r="188" spans="1:7" ht="10.5" customHeight="1" x14ac:dyDescent="0.3">
      <c r="A188" s="92"/>
      <c r="B188" s="10"/>
      <c r="C188" s="10" t="s">
        <v>166</v>
      </c>
      <c r="D188" s="662">
        <f>E188*1.67</f>
        <v>50.099999999999994</v>
      </c>
      <c r="E188" s="662">
        <f>200*150/1000</f>
        <v>30</v>
      </c>
      <c r="F188" s="662">
        <f>G188*1.67</f>
        <v>60.12</v>
      </c>
      <c r="G188" s="663">
        <f>200*180/1000</f>
        <v>36</v>
      </c>
    </row>
    <row r="189" spans="1:7" ht="10.5" customHeight="1" x14ac:dyDescent="0.3">
      <c r="A189" s="92"/>
      <c r="B189" s="10"/>
      <c r="C189" s="19" t="s">
        <v>198</v>
      </c>
      <c r="D189" s="662">
        <f>E189*1.25</f>
        <v>37.5</v>
      </c>
      <c r="E189" s="662">
        <f>200*150/1000</f>
        <v>30</v>
      </c>
      <c r="F189" s="662">
        <f>G189*1.25</f>
        <v>45</v>
      </c>
      <c r="G189" s="663">
        <f>200*180/1000</f>
        <v>36</v>
      </c>
    </row>
    <row r="190" spans="1:7" ht="10.5" customHeight="1" x14ac:dyDescent="0.3">
      <c r="A190" s="92"/>
      <c r="B190" s="10"/>
      <c r="C190" s="19" t="s">
        <v>105</v>
      </c>
      <c r="D190" s="93"/>
      <c r="E190" s="93"/>
      <c r="F190" s="93">
        <f>12*180/1000</f>
        <v>2.16</v>
      </c>
      <c r="G190" s="94">
        <f>12*180/1000</f>
        <v>2.16</v>
      </c>
    </row>
    <row r="191" spans="1:7" ht="10.5" customHeight="1" x14ac:dyDescent="0.3">
      <c r="A191" s="92"/>
      <c r="B191" s="10"/>
      <c r="C191" s="148"/>
      <c r="D191" s="93"/>
      <c r="E191" s="93"/>
      <c r="F191" s="93"/>
      <c r="G191" s="94"/>
    </row>
    <row r="192" spans="1:7" ht="10.5" customHeight="1" x14ac:dyDescent="0.3">
      <c r="A192" s="92"/>
      <c r="B192" s="10"/>
      <c r="C192" s="148"/>
      <c r="D192" s="93"/>
      <c r="E192" s="93"/>
      <c r="F192" s="93"/>
      <c r="G192" s="94"/>
    </row>
    <row r="193" spans="1:7" ht="10.5" customHeight="1" x14ac:dyDescent="0.3">
      <c r="A193" s="536">
        <v>336</v>
      </c>
      <c r="B193" s="10" t="s">
        <v>315</v>
      </c>
      <c r="C193" s="148" t="s">
        <v>73</v>
      </c>
      <c r="D193" s="93">
        <f>E193*1.15</f>
        <v>92</v>
      </c>
      <c r="E193" s="93">
        <f>160*50/100</f>
        <v>80</v>
      </c>
      <c r="F193" s="93">
        <f>G193*1.15</f>
        <v>92</v>
      </c>
      <c r="G193" s="94">
        <f>160*50/100</f>
        <v>80</v>
      </c>
    </row>
    <row r="194" spans="1:7" ht="10.5" customHeight="1" x14ac:dyDescent="0.3">
      <c r="A194" s="139"/>
      <c r="B194" s="10"/>
      <c r="C194" s="148" t="s">
        <v>60</v>
      </c>
      <c r="D194" s="93">
        <f>48*50/100</f>
        <v>24</v>
      </c>
      <c r="E194" s="93">
        <f>40*50/100</f>
        <v>20</v>
      </c>
      <c r="F194" s="93">
        <f>48*50/100</f>
        <v>24</v>
      </c>
      <c r="G194" s="94">
        <f>40*50/100</f>
        <v>20</v>
      </c>
    </row>
    <row r="195" spans="1:7" ht="10.5" customHeight="1" x14ac:dyDescent="0.3">
      <c r="A195" s="139"/>
      <c r="B195" s="10"/>
      <c r="C195" s="148" t="s">
        <v>136</v>
      </c>
      <c r="D195" s="93">
        <v>6</v>
      </c>
      <c r="E195" s="93">
        <v>6</v>
      </c>
      <c r="F195" s="93">
        <v>6</v>
      </c>
      <c r="G195" s="94">
        <v>6</v>
      </c>
    </row>
    <row r="196" spans="1:7" ht="10.5" customHeight="1" x14ac:dyDescent="0.3">
      <c r="A196" s="92"/>
      <c r="B196" s="665" t="s">
        <v>586</v>
      </c>
      <c r="C196" s="148" t="s">
        <v>285</v>
      </c>
      <c r="D196" s="93">
        <f>48*50/100</f>
        <v>24</v>
      </c>
      <c r="E196" s="93">
        <f>40*50/100</f>
        <v>20</v>
      </c>
      <c r="F196" s="93">
        <f>48*50/100</f>
        <v>24</v>
      </c>
      <c r="G196" s="94">
        <f>40*50/100</f>
        <v>20</v>
      </c>
    </row>
    <row r="197" spans="1:7" ht="10.5" customHeight="1" x14ac:dyDescent="0.3">
      <c r="A197" s="92"/>
      <c r="B197" s="10"/>
      <c r="C197" s="148" t="s">
        <v>501</v>
      </c>
      <c r="D197" s="93">
        <f>48*50/100</f>
        <v>24</v>
      </c>
      <c r="E197" s="93">
        <f>40*50/100</f>
        <v>20</v>
      </c>
      <c r="F197" s="93">
        <f>48*50/100</f>
        <v>24</v>
      </c>
      <c r="G197" s="94">
        <f>40*50/100</f>
        <v>20</v>
      </c>
    </row>
    <row r="198" spans="1:7" ht="10.5" customHeight="1" x14ac:dyDescent="0.3">
      <c r="A198" s="92"/>
      <c r="B198" s="10"/>
      <c r="C198" s="593" t="s">
        <v>502</v>
      </c>
      <c r="D198" s="574"/>
      <c r="E198" s="574">
        <v>50</v>
      </c>
      <c r="F198" s="574"/>
      <c r="G198" s="81">
        <v>50</v>
      </c>
    </row>
    <row r="199" spans="1:7" ht="10.5" customHeight="1" x14ac:dyDescent="0.3">
      <c r="A199" s="92"/>
      <c r="B199" s="10"/>
      <c r="C199" s="148" t="s">
        <v>134</v>
      </c>
      <c r="D199" s="682">
        <f>250*110/200</f>
        <v>137.5</v>
      </c>
      <c r="E199" s="683">
        <f>200*110/200</f>
        <v>110</v>
      </c>
      <c r="F199" s="682">
        <f>250*130/200</f>
        <v>162.5</v>
      </c>
      <c r="G199" s="684">
        <f>200*130/200</f>
        <v>130</v>
      </c>
    </row>
    <row r="200" spans="1:7" ht="10.5" customHeight="1" x14ac:dyDescent="0.3">
      <c r="A200" s="92"/>
      <c r="B200" s="10"/>
      <c r="C200" s="148" t="s">
        <v>103</v>
      </c>
      <c r="D200" s="683">
        <f>12*110/200</f>
        <v>6.6</v>
      </c>
      <c r="E200" s="683">
        <f>12*110/200</f>
        <v>6.6</v>
      </c>
      <c r="F200" s="683">
        <f>12*130/200</f>
        <v>7.8</v>
      </c>
      <c r="G200" s="684">
        <f>12*130/200</f>
        <v>7.8</v>
      </c>
    </row>
    <row r="201" spans="1:7" ht="10.5" customHeight="1" x14ac:dyDescent="0.3">
      <c r="A201" s="92"/>
      <c r="B201" s="10"/>
      <c r="C201" s="148" t="s">
        <v>62</v>
      </c>
      <c r="D201" s="683">
        <f>10*110/200</f>
        <v>5.5</v>
      </c>
      <c r="E201" s="683">
        <f>8*110/200</f>
        <v>4.4000000000000004</v>
      </c>
      <c r="F201" s="683">
        <f>10*130/200</f>
        <v>6.5</v>
      </c>
      <c r="G201" s="684">
        <f>8*130/200</f>
        <v>5.2</v>
      </c>
    </row>
    <row r="202" spans="1:7" ht="10.5" customHeight="1" x14ac:dyDescent="0.3">
      <c r="A202" s="594"/>
      <c r="B202" s="595"/>
      <c r="C202" s="148" t="s">
        <v>503</v>
      </c>
      <c r="D202" s="683">
        <f>19*110/200</f>
        <v>10.45</v>
      </c>
      <c r="E202" s="683">
        <f>16*110/200</f>
        <v>8.8000000000000007</v>
      </c>
      <c r="F202" s="683">
        <f>19*130/200</f>
        <v>12.35</v>
      </c>
      <c r="G202" s="684">
        <f>16*130/200</f>
        <v>10.4</v>
      </c>
    </row>
    <row r="203" spans="1:7" ht="10.5" customHeight="1" x14ac:dyDescent="0.3">
      <c r="A203" s="594"/>
      <c r="B203" s="595"/>
      <c r="C203" s="148" t="s">
        <v>171</v>
      </c>
      <c r="D203" s="683">
        <f>5.4*110/200</f>
        <v>2.97</v>
      </c>
      <c r="E203" s="683">
        <f>4*110/200</f>
        <v>2.2000000000000002</v>
      </c>
      <c r="F203" s="683">
        <f>5.4*130/200</f>
        <v>3.51</v>
      </c>
      <c r="G203" s="684">
        <f>4*130/200</f>
        <v>2.6</v>
      </c>
    </row>
    <row r="204" spans="1:7" ht="10.5" customHeight="1" x14ac:dyDescent="0.3">
      <c r="A204" s="594"/>
      <c r="B204" s="595"/>
      <c r="C204" s="148" t="s">
        <v>105</v>
      </c>
      <c r="D204" s="683">
        <v>0</v>
      </c>
      <c r="E204" s="683">
        <v>0</v>
      </c>
      <c r="F204" s="683">
        <v>0</v>
      </c>
      <c r="G204" s="684">
        <v>0</v>
      </c>
    </row>
    <row r="205" spans="1:7" ht="10.5" customHeight="1" x14ac:dyDescent="0.3">
      <c r="A205" s="594"/>
      <c r="B205" s="595"/>
      <c r="C205" s="148" t="s">
        <v>504</v>
      </c>
      <c r="D205" s="683">
        <f>0.18*150/200</f>
        <v>0.13500000000000001</v>
      </c>
      <c r="E205" s="683">
        <f>0.18*150/200</f>
        <v>0.13500000000000001</v>
      </c>
      <c r="F205" s="683">
        <f>0.18*130/200</f>
        <v>0.11699999999999999</v>
      </c>
      <c r="G205" s="684">
        <f>0.18*130/200</f>
        <v>0.11699999999999999</v>
      </c>
    </row>
    <row r="206" spans="1:7" ht="10.5" customHeight="1" x14ac:dyDescent="0.3">
      <c r="A206" s="594"/>
      <c r="B206" s="595"/>
      <c r="C206" s="148" t="s">
        <v>109</v>
      </c>
      <c r="D206" s="683">
        <f>2.4*110/200</f>
        <v>1.32</v>
      </c>
      <c r="E206" s="683">
        <f>2.4*110/200</f>
        <v>1.32</v>
      </c>
      <c r="F206" s="683">
        <f>2.4*130/200</f>
        <v>1.56</v>
      </c>
      <c r="G206" s="684">
        <f>2.4*130/200</f>
        <v>1.56</v>
      </c>
    </row>
    <row r="207" spans="1:7" ht="10.5" customHeight="1" x14ac:dyDescent="0.3">
      <c r="A207" s="11">
        <v>378</v>
      </c>
      <c r="B207" s="10" t="s">
        <v>246</v>
      </c>
      <c r="C207" s="10"/>
      <c r="D207" s="93"/>
      <c r="E207" s="93"/>
      <c r="F207" s="93"/>
      <c r="G207" s="94"/>
    </row>
    <row r="208" spans="1:7" ht="10.5" customHeight="1" x14ac:dyDescent="0.3">
      <c r="A208" s="586"/>
      <c r="B208" s="10"/>
      <c r="C208" s="10" t="s">
        <v>632</v>
      </c>
      <c r="D208" s="93">
        <v>15</v>
      </c>
      <c r="E208" s="93">
        <v>15</v>
      </c>
      <c r="F208" s="93">
        <v>18</v>
      </c>
      <c r="G208" s="94">
        <v>18</v>
      </c>
    </row>
    <row r="209" spans="1:7" ht="10.5" customHeight="1" x14ac:dyDescent="0.3">
      <c r="A209" s="586"/>
      <c r="B209" s="10"/>
      <c r="C209" s="10" t="s">
        <v>55</v>
      </c>
      <c r="D209" s="93">
        <f>100*150/1000</f>
        <v>15</v>
      </c>
      <c r="E209" s="93">
        <f>100*150/1000</f>
        <v>15</v>
      </c>
      <c r="F209" s="93">
        <f>100*180/1000</f>
        <v>18</v>
      </c>
      <c r="G209" s="94">
        <f>100*180/1000</f>
        <v>18</v>
      </c>
    </row>
    <row r="210" spans="1:7" ht="10.5" customHeight="1" x14ac:dyDescent="0.3">
      <c r="A210" s="586"/>
      <c r="B210" s="10"/>
      <c r="C210" s="10" t="s">
        <v>125</v>
      </c>
      <c r="D210" s="93">
        <f>45*150/1000</f>
        <v>6.75</v>
      </c>
      <c r="E210" s="93">
        <f>45*150/1000</f>
        <v>6.75</v>
      </c>
      <c r="F210" s="93">
        <f>45*180/1000</f>
        <v>8.1</v>
      </c>
      <c r="G210" s="94">
        <f>45*180/1000</f>
        <v>8.1</v>
      </c>
    </row>
    <row r="211" spans="1:7" ht="10.5" customHeight="1" x14ac:dyDescent="0.3">
      <c r="A211" s="92"/>
      <c r="B211" s="10" t="s">
        <v>72</v>
      </c>
      <c r="C211" s="10" t="s">
        <v>48</v>
      </c>
      <c r="D211" s="93">
        <v>20</v>
      </c>
      <c r="E211" s="93">
        <v>20</v>
      </c>
      <c r="F211" s="93">
        <v>25</v>
      </c>
      <c r="G211" s="94">
        <v>25</v>
      </c>
    </row>
    <row r="212" spans="1:7" ht="10.5" customHeight="1" thickBot="1" x14ac:dyDescent="0.35">
      <c r="A212" s="28"/>
      <c r="B212" s="12" t="s">
        <v>17</v>
      </c>
      <c r="C212" s="12" t="s">
        <v>139</v>
      </c>
      <c r="D212" s="63">
        <v>17</v>
      </c>
      <c r="E212" s="63">
        <v>17</v>
      </c>
      <c r="F212" s="63">
        <v>21</v>
      </c>
      <c r="G212" s="184">
        <v>21</v>
      </c>
    </row>
    <row r="213" spans="1:7" ht="10.5" customHeight="1" x14ac:dyDescent="0.3">
      <c r="A213" s="509">
        <v>278</v>
      </c>
      <c r="B213" s="16" t="s">
        <v>384</v>
      </c>
      <c r="C213" s="596" t="s">
        <v>126</v>
      </c>
      <c r="D213" s="16">
        <f>89</f>
        <v>89</v>
      </c>
      <c r="E213" s="568">
        <v>74</v>
      </c>
      <c r="F213" s="597" t="s">
        <v>493</v>
      </c>
      <c r="G213" s="569">
        <v>74</v>
      </c>
    </row>
    <row r="214" spans="1:7" ht="10.5" customHeight="1" x14ac:dyDescent="0.3">
      <c r="A214" s="11"/>
      <c r="B214" s="10" t="s">
        <v>622</v>
      </c>
      <c r="C214" s="10" t="s">
        <v>103</v>
      </c>
      <c r="D214" s="93">
        <f>6</f>
        <v>6</v>
      </c>
      <c r="E214" s="93">
        <v>6</v>
      </c>
      <c r="F214" s="93">
        <v>6</v>
      </c>
      <c r="G214" s="94">
        <v>6</v>
      </c>
    </row>
    <row r="215" spans="1:7" ht="10.5" customHeight="1" x14ac:dyDescent="0.3">
      <c r="A215" s="92">
        <v>356</v>
      </c>
      <c r="B215" s="10" t="s">
        <v>494</v>
      </c>
      <c r="C215" s="10" t="s">
        <v>267</v>
      </c>
      <c r="D215" s="93">
        <v>50</v>
      </c>
      <c r="E215" s="93">
        <v>50</v>
      </c>
      <c r="F215" s="93">
        <v>50</v>
      </c>
      <c r="G215" s="94">
        <v>50</v>
      </c>
    </row>
    <row r="216" spans="1:7" ht="10.5" customHeight="1" x14ac:dyDescent="0.3">
      <c r="A216" s="92"/>
      <c r="B216" s="10"/>
      <c r="C216" s="10" t="s">
        <v>224</v>
      </c>
      <c r="D216" s="93">
        <f>D215*900/1000</f>
        <v>45</v>
      </c>
      <c r="E216" s="93">
        <f>E215*900/1000</f>
        <v>45</v>
      </c>
      <c r="F216" s="93">
        <f>F215*900/1000</f>
        <v>45</v>
      </c>
      <c r="G216" s="94">
        <f>G215*900/1000</f>
        <v>45</v>
      </c>
    </row>
    <row r="217" spans="1:7" ht="10.5" customHeight="1" x14ac:dyDescent="0.3">
      <c r="A217" s="92"/>
      <c r="B217" s="10" t="s">
        <v>196</v>
      </c>
      <c r="C217" s="10" t="s">
        <v>65</v>
      </c>
      <c r="D217" s="93">
        <f>250*D215/1000</f>
        <v>12.5</v>
      </c>
      <c r="E217" s="93">
        <f>250*E215/1000</f>
        <v>12.5</v>
      </c>
      <c r="F217" s="93">
        <f>250*F215/1000</f>
        <v>12.5</v>
      </c>
      <c r="G217" s="94">
        <f>250*G215/1000</f>
        <v>12.5</v>
      </c>
    </row>
    <row r="218" spans="1:7" ht="10.5" customHeight="1" x14ac:dyDescent="0.3">
      <c r="A218" s="92"/>
      <c r="B218" s="10"/>
      <c r="C218" s="19" t="s">
        <v>109</v>
      </c>
      <c r="D218" s="93">
        <f>75*D216/1000</f>
        <v>3.375</v>
      </c>
      <c r="E218" s="93">
        <f>75*E216/1000</f>
        <v>3.375</v>
      </c>
      <c r="F218" s="93">
        <f>75*F216/1000</f>
        <v>3.375</v>
      </c>
      <c r="G218" s="94">
        <f>75*G216/1000</f>
        <v>3.375</v>
      </c>
    </row>
    <row r="219" spans="1:7" ht="10.5" customHeight="1" x14ac:dyDescent="0.3">
      <c r="A219" s="92"/>
      <c r="B219" s="123"/>
      <c r="C219" s="10" t="s">
        <v>67</v>
      </c>
      <c r="D219" s="93">
        <f>750*D216/1000</f>
        <v>33.75</v>
      </c>
      <c r="E219" s="93">
        <f>750*E216/1000</f>
        <v>33.75</v>
      </c>
      <c r="F219" s="93">
        <f>750*F216/1000</f>
        <v>33.75</v>
      </c>
      <c r="G219" s="94">
        <f>750*G216/1000</f>
        <v>33.75</v>
      </c>
    </row>
    <row r="220" spans="1:7" ht="10.5" customHeight="1" x14ac:dyDescent="0.3">
      <c r="A220" s="92"/>
      <c r="B220" s="10"/>
      <c r="C220" s="10" t="s">
        <v>56</v>
      </c>
      <c r="D220" s="93">
        <f>8*D216/1000</f>
        <v>0.36</v>
      </c>
      <c r="E220" s="93">
        <f>8*E216/1000</f>
        <v>0.36</v>
      </c>
      <c r="F220" s="93">
        <f>8*F216/1000</f>
        <v>0.36</v>
      </c>
      <c r="G220" s="94">
        <f>8*G216/1000</f>
        <v>0.36</v>
      </c>
    </row>
    <row r="221" spans="1:7" ht="10.5" customHeight="1" x14ac:dyDescent="0.3">
      <c r="A221" s="92"/>
      <c r="B221" s="10"/>
      <c r="C221" s="10" t="s">
        <v>60</v>
      </c>
      <c r="D221" s="93">
        <f>238*D215/1000</f>
        <v>11.9</v>
      </c>
      <c r="E221" s="93">
        <f>200*E215/1000</f>
        <v>10</v>
      </c>
      <c r="F221" s="93">
        <f>238*F215/1000</f>
        <v>11.9</v>
      </c>
      <c r="G221" s="94">
        <f>200*G215/1000</f>
        <v>10</v>
      </c>
    </row>
    <row r="222" spans="1:7" ht="10.5" customHeight="1" x14ac:dyDescent="0.3">
      <c r="A222" s="92"/>
      <c r="B222" s="10"/>
      <c r="C222" s="10" t="s">
        <v>136</v>
      </c>
      <c r="D222" s="93">
        <f>20*D215/1000</f>
        <v>1</v>
      </c>
      <c r="E222" s="93">
        <f>20*E215/1000</f>
        <v>1</v>
      </c>
      <c r="F222" s="93">
        <f>20*F215/1000</f>
        <v>1</v>
      </c>
      <c r="G222" s="94">
        <f>20*G215/1000</f>
        <v>1</v>
      </c>
    </row>
    <row r="223" spans="1:7" ht="10.5" customHeight="1" x14ac:dyDescent="0.3">
      <c r="A223" s="92"/>
      <c r="B223" s="10"/>
      <c r="C223" s="10" t="s">
        <v>105</v>
      </c>
      <c r="D223" s="93">
        <v>0</v>
      </c>
      <c r="E223" s="93">
        <v>0</v>
      </c>
      <c r="F223" s="93">
        <f>20*F215/1000*0.4</f>
        <v>0.4</v>
      </c>
      <c r="G223" s="94">
        <f>20*G215/1000*0.4</f>
        <v>0.4</v>
      </c>
    </row>
    <row r="224" spans="1:7" ht="10.5" customHeight="1" x14ac:dyDescent="0.3">
      <c r="A224" s="11">
        <v>314</v>
      </c>
      <c r="B224" s="10" t="s">
        <v>447</v>
      </c>
      <c r="C224" s="10" t="s">
        <v>108</v>
      </c>
      <c r="D224" s="93">
        <v>35.700000000000003</v>
      </c>
      <c r="E224" s="93">
        <v>35.700000000000003</v>
      </c>
      <c r="F224" s="93">
        <v>35.700000000000003</v>
      </c>
      <c r="G224" s="93">
        <v>35.700000000000003</v>
      </c>
    </row>
    <row r="225" spans="1:7" ht="10.5" customHeight="1" x14ac:dyDescent="0.3">
      <c r="A225" s="92"/>
      <c r="B225" s="10" t="s">
        <v>195</v>
      </c>
      <c r="C225" s="10" t="s">
        <v>136</v>
      </c>
      <c r="D225" s="93">
        <v>4.5</v>
      </c>
      <c r="E225" s="93">
        <v>4.5</v>
      </c>
      <c r="F225" s="93">
        <v>4.5</v>
      </c>
      <c r="G225" s="93">
        <v>4.5</v>
      </c>
    </row>
    <row r="226" spans="1:7" ht="10.5" customHeight="1" x14ac:dyDescent="0.3">
      <c r="A226" s="11">
        <v>393</v>
      </c>
      <c r="B226" s="10" t="s">
        <v>288</v>
      </c>
      <c r="C226" s="10" t="s">
        <v>292</v>
      </c>
      <c r="D226" s="21">
        <v>4</v>
      </c>
      <c r="E226" s="93">
        <v>3.5</v>
      </c>
      <c r="F226" s="21">
        <v>8</v>
      </c>
      <c r="G226" s="94">
        <v>7</v>
      </c>
    </row>
    <row r="227" spans="1:7" ht="10.5" customHeight="1" x14ac:dyDescent="0.3">
      <c r="A227" s="92"/>
      <c r="B227" s="10"/>
      <c r="C227" s="10" t="s">
        <v>268</v>
      </c>
      <c r="D227" s="93">
        <f>10*20/1000</f>
        <v>0.2</v>
      </c>
      <c r="E227" s="93">
        <f>10*20/1000</f>
        <v>0.2</v>
      </c>
      <c r="F227" s="93">
        <f>10*30/1000</f>
        <v>0.3</v>
      </c>
      <c r="G227" s="94">
        <f>10*30/1000</f>
        <v>0.3</v>
      </c>
    </row>
    <row r="228" spans="1:7" ht="10.5" customHeight="1" x14ac:dyDescent="0.3">
      <c r="A228" s="92"/>
      <c r="B228" s="10"/>
      <c r="C228" s="10" t="s">
        <v>55</v>
      </c>
      <c r="D228" s="93">
        <v>7</v>
      </c>
      <c r="E228" s="93">
        <v>7</v>
      </c>
      <c r="F228" s="93">
        <v>10</v>
      </c>
      <c r="G228" s="94">
        <v>10</v>
      </c>
    </row>
    <row r="229" spans="1:7" ht="10.5" customHeight="1" x14ac:dyDescent="0.3">
      <c r="A229" s="92"/>
      <c r="B229" s="10"/>
      <c r="C229" s="10" t="s">
        <v>54</v>
      </c>
      <c r="D229" s="21">
        <v>130</v>
      </c>
      <c r="E229" s="93">
        <v>130</v>
      </c>
      <c r="F229" s="21">
        <v>150</v>
      </c>
      <c r="G229" s="94">
        <v>150</v>
      </c>
    </row>
    <row r="230" spans="1:7" ht="10.5" customHeight="1" x14ac:dyDescent="0.3">
      <c r="A230" s="95">
        <v>493</v>
      </c>
      <c r="B230" s="125" t="s">
        <v>300</v>
      </c>
      <c r="C230" s="125" t="s">
        <v>291</v>
      </c>
      <c r="D230" s="126">
        <v>35</v>
      </c>
      <c r="E230" s="589">
        <v>35</v>
      </c>
      <c r="F230" s="126">
        <v>50</v>
      </c>
      <c r="G230" s="590">
        <v>50</v>
      </c>
    </row>
    <row r="231" spans="1:7" ht="67.900000000000006" customHeight="1" thickBot="1" x14ac:dyDescent="0.35">
      <c r="A231" s="28"/>
      <c r="B231" s="12" t="s">
        <v>17</v>
      </c>
      <c r="C231" s="12" t="s">
        <v>139</v>
      </c>
      <c r="D231" s="63">
        <v>17</v>
      </c>
      <c r="E231" s="63">
        <v>17</v>
      </c>
      <c r="F231" s="63">
        <v>21</v>
      </c>
      <c r="G231" s="184">
        <v>21</v>
      </c>
    </row>
    <row r="232" spans="1:7" ht="10.9" customHeight="1" thickBot="1" x14ac:dyDescent="0.35">
      <c r="A232" s="156"/>
      <c r="B232" s="878" t="s">
        <v>587</v>
      </c>
      <c r="C232" s="222"/>
      <c r="D232" s="877"/>
      <c r="E232" s="874"/>
      <c r="F232" s="873" t="s">
        <v>70</v>
      </c>
      <c r="G232" s="874"/>
    </row>
    <row r="233" spans="1:7" ht="10.9" customHeight="1" thickBot="1" x14ac:dyDescent="0.35">
      <c r="A233" s="175" t="s">
        <v>131</v>
      </c>
      <c r="B233" s="879"/>
      <c r="C233" s="223"/>
      <c r="D233" s="173" t="s">
        <v>91</v>
      </c>
      <c r="E233" s="174" t="s">
        <v>46</v>
      </c>
      <c r="F233" s="173" t="s">
        <v>91</v>
      </c>
      <c r="G233" s="174" t="s">
        <v>46</v>
      </c>
    </row>
    <row r="234" spans="1:7" ht="10.9" customHeight="1" x14ac:dyDescent="0.3">
      <c r="A234" s="509">
        <v>168</v>
      </c>
      <c r="B234" s="16" t="s">
        <v>495</v>
      </c>
      <c r="C234" s="16" t="s">
        <v>114</v>
      </c>
      <c r="D234" s="660">
        <f>800*130/1000</f>
        <v>104</v>
      </c>
      <c r="E234" s="660">
        <f>800*130/1000</f>
        <v>104</v>
      </c>
      <c r="F234" s="660">
        <f>800*150/1000</f>
        <v>120</v>
      </c>
      <c r="G234" s="661">
        <f>800*150/1000</f>
        <v>120</v>
      </c>
    </row>
    <row r="235" spans="1:7" ht="10.9" customHeight="1" x14ac:dyDescent="0.3">
      <c r="A235" s="92"/>
      <c r="B235" s="10"/>
      <c r="C235" s="10" t="s">
        <v>135</v>
      </c>
      <c r="D235" s="662">
        <f>D234*0.12</f>
        <v>12.48</v>
      </c>
      <c r="E235" s="662">
        <f>E234*0.12</f>
        <v>12.48</v>
      </c>
      <c r="F235" s="662">
        <f>F234*0.12</f>
        <v>14.399999999999999</v>
      </c>
      <c r="G235" s="663">
        <f>G234*0.12</f>
        <v>14.399999999999999</v>
      </c>
    </row>
    <row r="236" spans="1:7" ht="10.9" customHeight="1" x14ac:dyDescent="0.3">
      <c r="A236" s="92" t="s">
        <v>133</v>
      </c>
      <c r="B236" s="665" t="s">
        <v>579</v>
      </c>
      <c r="C236" s="10" t="s">
        <v>57</v>
      </c>
      <c r="D236" s="662">
        <v>5</v>
      </c>
      <c r="E236" s="662">
        <v>5</v>
      </c>
      <c r="F236" s="662">
        <v>5</v>
      </c>
      <c r="G236" s="663">
        <v>5</v>
      </c>
    </row>
    <row r="237" spans="1:7" ht="10.9" customHeight="1" x14ac:dyDescent="0.3">
      <c r="A237" s="92"/>
      <c r="B237" s="10"/>
      <c r="C237" s="10" t="s">
        <v>55</v>
      </c>
      <c r="D237" s="662">
        <v>5</v>
      </c>
      <c r="E237" s="662">
        <v>5</v>
      </c>
      <c r="F237" s="662">
        <v>5</v>
      </c>
      <c r="G237" s="663">
        <v>5</v>
      </c>
    </row>
    <row r="238" spans="1:7" ht="10.9" customHeight="1" x14ac:dyDescent="0.3">
      <c r="A238" s="92"/>
      <c r="B238" s="10"/>
      <c r="C238" s="10" t="s">
        <v>341</v>
      </c>
      <c r="D238" s="662">
        <f>250*130/1000</f>
        <v>32.5</v>
      </c>
      <c r="E238" s="662">
        <f>250*130/1000</f>
        <v>32.5</v>
      </c>
      <c r="F238" s="662">
        <f>250*150/1000</f>
        <v>37.5</v>
      </c>
      <c r="G238" s="663">
        <f>250*150/1000</f>
        <v>37.5</v>
      </c>
    </row>
    <row r="239" spans="1:7" ht="10.9" customHeight="1" x14ac:dyDescent="0.3">
      <c r="A239" s="92"/>
      <c r="B239" s="10"/>
      <c r="C239" s="10" t="s">
        <v>221</v>
      </c>
      <c r="D239" s="662">
        <f>D234-D235</f>
        <v>91.52</v>
      </c>
      <c r="E239" s="662">
        <f>E234-E235</f>
        <v>91.52</v>
      </c>
      <c r="F239" s="662">
        <f>F234-F235</f>
        <v>105.6</v>
      </c>
      <c r="G239" s="663">
        <f>G234-G235</f>
        <v>105.6</v>
      </c>
    </row>
    <row r="240" spans="1:7" ht="10.9" customHeight="1" x14ac:dyDescent="0.3">
      <c r="A240" s="11">
        <v>2</v>
      </c>
      <c r="B240" s="10" t="s">
        <v>283</v>
      </c>
      <c r="C240" s="10" t="s">
        <v>284</v>
      </c>
      <c r="D240" s="93">
        <v>24</v>
      </c>
      <c r="E240" s="93">
        <v>24</v>
      </c>
      <c r="F240" s="93">
        <v>30</v>
      </c>
      <c r="G240" s="94">
        <v>30</v>
      </c>
    </row>
    <row r="241" spans="1:7" ht="10.9" customHeight="1" x14ac:dyDescent="0.3">
      <c r="A241" s="92"/>
      <c r="B241" s="10"/>
      <c r="C241" s="10"/>
      <c r="D241" s="93"/>
      <c r="E241" s="93"/>
      <c r="F241" s="93"/>
      <c r="G241" s="94"/>
    </row>
    <row r="242" spans="1:7" ht="10.9" customHeight="1" x14ac:dyDescent="0.3">
      <c r="A242" s="139">
        <v>392</v>
      </c>
      <c r="B242" s="10" t="s">
        <v>50</v>
      </c>
      <c r="C242" s="10" t="s">
        <v>293</v>
      </c>
      <c r="D242" s="93">
        <v>0.2</v>
      </c>
      <c r="E242" s="93">
        <v>0.2</v>
      </c>
      <c r="F242" s="93">
        <v>0.3</v>
      </c>
      <c r="G242" s="94">
        <v>0.3</v>
      </c>
    </row>
    <row r="243" spans="1:7" ht="10.9" customHeight="1" x14ac:dyDescent="0.3">
      <c r="A243" s="92"/>
      <c r="B243" s="10" t="s">
        <v>59</v>
      </c>
      <c r="C243" s="10" t="s">
        <v>55</v>
      </c>
      <c r="D243" s="93">
        <v>7</v>
      </c>
      <c r="E243" s="93">
        <v>7</v>
      </c>
      <c r="F243" s="93">
        <v>10</v>
      </c>
      <c r="G243" s="94">
        <v>10</v>
      </c>
    </row>
    <row r="244" spans="1:7" ht="10.9" customHeight="1" x14ac:dyDescent="0.3">
      <c r="A244" s="92"/>
      <c r="B244" s="10"/>
      <c r="C244" s="10" t="s">
        <v>114</v>
      </c>
      <c r="D244" s="93">
        <v>92</v>
      </c>
      <c r="E244" s="93">
        <v>92</v>
      </c>
      <c r="F244" s="93">
        <v>92</v>
      </c>
      <c r="G244" s="94">
        <v>92</v>
      </c>
    </row>
    <row r="245" spans="1:7" ht="10.9" customHeight="1" x14ac:dyDescent="0.3">
      <c r="A245" s="92"/>
      <c r="B245" s="10"/>
      <c r="C245" s="10" t="s">
        <v>135</v>
      </c>
      <c r="D245" s="93">
        <f>D244*0.12</f>
        <v>11.04</v>
      </c>
      <c r="E245" s="93">
        <f>E244*0.12</f>
        <v>11.04</v>
      </c>
      <c r="F245" s="93">
        <f>F244*0.12</f>
        <v>11.04</v>
      </c>
      <c r="G245" s="94">
        <f>G244*0.12</f>
        <v>11.04</v>
      </c>
    </row>
    <row r="246" spans="1:7" ht="10.9" customHeight="1" thickBot="1" x14ac:dyDescent="0.35">
      <c r="A246" s="28"/>
      <c r="B246" s="12"/>
      <c r="C246" s="12" t="s">
        <v>54</v>
      </c>
      <c r="D246" s="63">
        <v>40</v>
      </c>
      <c r="E246" s="63">
        <v>40</v>
      </c>
      <c r="F246" s="63">
        <v>60</v>
      </c>
      <c r="G246" s="184">
        <v>60</v>
      </c>
    </row>
    <row r="247" spans="1:7" ht="10.9" customHeight="1" thickBot="1" x14ac:dyDescent="0.35">
      <c r="A247" s="527">
        <v>368</v>
      </c>
      <c r="B247" s="185" t="s">
        <v>115</v>
      </c>
      <c r="C247" s="598" t="s">
        <v>170</v>
      </c>
      <c r="D247" s="685">
        <v>109</v>
      </c>
      <c r="E247" s="686">
        <v>95</v>
      </c>
      <c r="F247" s="599">
        <v>114</v>
      </c>
      <c r="G247" s="600">
        <v>100</v>
      </c>
    </row>
    <row r="248" spans="1:7" ht="10.9" customHeight="1" x14ac:dyDescent="0.3">
      <c r="A248" s="509">
        <v>54</v>
      </c>
      <c r="B248" s="16" t="s">
        <v>496</v>
      </c>
      <c r="C248" s="16" t="s">
        <v>62</v>
      </c>
      <c r="D248" s="660">
        <f>1005*30/1000</f>
        <v>30.15</v>
      </c>
      <c r="E248" s="660">
        <f>800*30/1000</f>
        <v>24</v>
      </c>
      <c r="F248" s="660">
        <f>1005*50/1000</f>
        <v>50.25</v>
      </c>
      <c r="G248" s="661">
        <f>800*50/1000</f>
        <v>40</v>
      </c>
    </row>
    <row r="249" spans="1:7" ht="10.9" customHeight="1" x14ac:dyDescent="0.3">
      <c r="A249" s="139"/>
      <c r="B249" s="665" t="s">
        <v>580</v>
      </c>
      <c r="C249" s="10" t="s">
        <v>103</v>
      </c>
      <c r="D249" s="662">
        <f>50*30/1000</f>
        <v>1.5</v>
      </c>
      <c r="E249" s="662">
        <f>50*30/1000</f>
        <v>1.5</v>
      </c>
      <c r="F249" s="662">
        <f>50*50/1000</f>
        <v>2.5</v>
      </c>
      <c r="G249" s="663">
        <f>50*50/1000</f>
        <v>2.5</v>
      </c>
    </row>
    <row r="250" spans="1:7" ht="10.9" customHeight="1" x14ac:dyDescent="0.3">
      <c r="A250" s="139"/>
      <c r="B250" s="10"/>
      <c r="C250" s="10" t="s">
        <v>105</v>
      </c>
      <c r="D250" s="662">
        <v>0</v>
      </c>
      <c r="E250" s="662">
        <v>0</v>
      </c>
      <c r="F250" s="662">
        <f>275*50/1000*0.4</f>
        <v>5.5</v>
      </c>
      <c r="G250" s="663">
        <f>275*50/1000*0.4</f>
        <v>5.5</v>
      </c>
    </row>
    <row r="251" spans="1:7" ht="10.9" customHeight="1" x14ac:dyDescent="0.3">
      <c r="A251" s="139"/>
      <c r="B251" s="10"/>
      <c r="C251" s="10" t="s">
        <v>60</v>
      </c>
      <c r="D251" s="662">
        <f>196*30/1000</f>
        <v>5.88</v>
      </c>
      <c r="E251" s="662">
        <f>165*30/1000</f>
        <v>4.95</v>
      </c>
      <c r="F251" s="662">
        <f>155*50/1000</f>
        <v>7.75</v>
      </c>
      <c r="G251" s="663">
        <f>130*50/1000</f>
        <v>6.5</v>
      </c>
    </row>
    <row r="252" spans="1:7" ht="10.9" customHeight="1" x14ac:dyDescent="0.3">
      <c r="A252" s="139"/>
      <c r="B252" s="10"/>
      <c r="C252" s="10" t="s">
        <v>55</v>
      </c>
      <c r="D252" s="662">
        <f>12*30/1000</f>
        <v>0.36</v>
      </c>
      <c r="E252" s="662">
        <f>12*30/1000</f>
        <v>0.36</v>
      </c>
      <c r="F252" s="662">
        <f>12*50/1000</f>
        <v>0.6</v>
      </c>
      <c r="G252" s="663">
        <f>12*50/1000</f>
        <v>0.6</v>
      </c>
    </row>
    <row r="253" spans="1:7" ht="10.9" customHeight="1" x14ac:dyDescent="0.3">
      <c r="A253" s="11">
        <v>83</v>
      </c>
      <c r="B253" s="10" t="s">
        <v>387</v>
      </c>
      <c r="C253" s="10" t="s">
        <v>163</v>
      </c>
      <c r="D253" s="662">
        <f>E253*1.33</f>
        <v>59.85</v>
      </c>
      <c r="E253" s="662">
        <f>300*150/1000</f>
        <v>45</v>
      </c>
      <c r="F253" s="662">
        <f>G253*1.33</f>
        <v>71.820000000000007</v>
      </c>
      <c r="G253" s="663">
        <f>300*180/1000</f>
        <v>54</v>
      </c>
    </row>
    <row r="254" spans="1:7" ht="10.9" customHeight="1" x14ac:dyDescent="0.3">
      <c r="A254" s="92"/>
      <c r="B254" s="19"/>
      <c r="C254" s="10" t="s">
        <v>164</v>
      </c>
      <c r="D254" s="662">
        <f>E254*1.43</f>
        <v>64.349999999999994</v>
      </c>
      <c r="E254" s="662">
        <f>300*150/1000</f>
        <v>45</v>
      </c>
      <c r="F254" s="662">
        <f>G254*1.43</f>
        <v>77.22</v>
      </c>
      <c r="G254" s="663">
        <f>300*180/1000</f>
        <v>54</v>
      </c>
    </row>
    <row r="255" spans="1:7" ht="10.9" customHeight="1" x14ac:dyDescent="0.3">
      <c r="A255" s="92"/>
      <c r="B255" s="677" t="s">
        <v>59</v>
      </c>
      <c r="C255" s="10" t="s">
        <v>165</v>
      </c>
      <c r="D255" s="662">
        <f>E255*1.54</f>
        <v>69.3</v>
      </c>
      <c r="E255" s="662">
        <f>300*150/1000</f>
        <v>45</v>
      </c>
      <c r="F255" s="662">
        <f>G255*1.54</f>
        <v>83.16</v>
      </c>
      <c r="G255" s="663">
        <f>300*180/1000</f>
        <v>54</v>
      </c>
    </row>
    <row r="256" spans="1:7" ht="10.9" customHeight="1" x14ac:dyDescent="0.3">
      <c r="A256" s="92"/>
      <c r="B256" s="19"/>
      <c r="C256" s="10" t="s">
        <v>166</v>
      </c>
      <c r="D256" s="662">
        <f>E256*1.67</f>
        <v>75.149999999999991</v>
      </c>
      <c r="E256" s="662">
        <f>300*150/1000</f>
        <v>45</v>
      </c>
      <c r="F256" s="662">
        <f>G256*1.67</f>
        <v>90.179999999999993</v>
      </c>
      <c r="G256" s="663">
        <f>300*180/1000</f>
        <v>54</v>
      </c>
    </row>
    <row r="257" spans="1:7" ht="10.9" customHeight="1" x14ac:dyDescent="0.3">
      <c r="A257" s="92"/>
      <c r="B257" s="19"/>
      <c r="C257" s="19" t="s">
        <v>62</v>
      </c>
      <c r="D257" s="662">
        <f>50*150/1000</f>
        <v>7.5</v>
      </c>
      <c r="E257" s="662">
        <f>40*150/1000</f>
        <v>6</v>
      </c>
      <c r="F257" s="662">
        <f>50*180/1000</f>
        <v>9</v>
      </c>
      <c r="G257" s="663">
        <f>40*180/1000</f>
        <v>7.2</v>
      </c>
    </row>
    <row r="258" spans="1:7" ht="10.9" customHeight="1" x14ac:dyDescent="0.3">
      <c r="A258" s="92"/>
      <c r="B258" s="19"/>
      <c r="C258" s="19" t="s">
        <v>60</v>
      </c>
      <c r="D258" s="662">
        <f>48*150/1000</f>
        <v>7.2</v>
      </c>
      <c r="E258" s="662">
        <f>40*150/1000</f>
        <v>6</v>
      </c>
      <c r="F258" s="662">
        <f>48*180/1000</f>
        <v>8.64</v>
      </c>
      <c r="G258" s="663">
        <f>40*180/1000</f>
        <v>7.2</v>
      </c>
    </row>
    <row r="259" spans="1:7" ht="10.9" customHeight="1" x14ac:dyDescent="0.3">
      <c r="A259" s="92"/>
      <c r="B259" s="19"/>
      <c r="C259" s="19" t="s">
        <v>138</v>
      </c>
      <c r="D259" s="662">
        <f>40*150/1000</f>
        <v>6</v>
      </c>
      <c r="E259" s="662">
        <f>40*150/1000</f>
        <v>6</v>
      </c>
      <c r="F259" s="662">
        <f>40*180/1000</f>
        <v>7.2</v>
      </c>
      <c r="G259" s="663">
        <f>40*180/1000</f>
        <v>7.2</v>
      </c>
    </row>
    <row r="260" spans="1:7" ht="10.9" customHeight="1" x14ac:dyDescent="0.3">
      <c r="A260" s="92"/>
      <c r="B260" s="19"/>
      <c r="C260" s="19" t="s">
        <v>103</v>
      </c>
      <c r="D260" s="662">
        <f>10*150/1000</f>
        <v>1.5</v>
      </c>
      <c r="E260" s="662">
        <f>10*150/1000</f>
        <v>1.5</v>
      </c>
      <c r="F260" s="662">
        <f>10*180/1000</f>
        <v>1.8</v>
      </c>
      <c r="G260" s="663">
        <f>10*180/1000</f>
        <v>1.8</v>
      </c>
    </row>
    <row r="261" spans="1:7" ht="10.9" customHeight="1" x14ac:dyDescent="0.3">
      <c r="A261" s="11"/>
      <c r="B261" s="10"/>
      <c r="C261" s="148" t="s">
        <v>562</v>
      </c>
      <c r="D261" s="93">
        <v>17.3</v>
      </c>
      <c r="E261" s="93">
        <v>15.8</v>
      </c>
      <c r="F261" s="93"/>
      <c r="G261" s="94"/>
    </row>
    <row r="262" spans="1:7" ht="10.9" customHeight="1" x14ac:dyDescent="0.3">
      <c r="A262" s="11">
        <v>306</v>
      </c>
      <c r="B262" s="10" t="s">
        <v>388</v>
      </c>
      <c r="C262" s="148" t="s">
        <v>187</v>
      </c>
      <c r="D262" s="93">
        <v>45</v>
      </c>
      <c r="E262" s="93">
        <v>44</v>
      </c>
      <c r="F262" s="93">
        <v>60</v>
      </c>
      <c r="G262" s="94">
        <v>59</v>
      </c>
    </row>
    <row r="263" spans="1:7" ht="10.9" customHeight="1" x14ac:dyDescent="0.3">
      <c r="A263" s="92"/>
      <c r="B263" s="19" t="s">
        <v>188</v>
      </c>
      <c r="C263" s="148" t="s">
        <v>154</v>
      </c>
      <c r="D263" s="93">
        <v>75</v>
      </c>
      <c r="E263" s="93">
        <v>44</v>
      </c>
      <c r="F263" s="93">
        <v>101</v>
      </c>
      <c r="G263" s="94">
        <v>59</v>
      </c>
    </row>
    <row r="264" spans="1:7" ht="10.9" customHeight="1" x14ac:dyDescent="0.3">
      <c r="A264" s="92"/>
      <c r="B264" s="19"/>
      <c r="C264" s="148" t="s">
        <v>52</v>
      </c>
      <c r="D264" s="93">
        <v>11</v>
      </c>
      <c r="E264" s="93">
        <v>11</v>
      </c>
      <c r="F264" s="93">
        <v>15</v>
      </c>
      <c r="G264" s="94">
        <v>15</v>
      </c>
    </row>
    <row r="265" spans="1:7" ht="10.9" customHeight="1" x14ac:dyDescent="0.3">
      <c r="A265" s="92" t="s">
        <v>342</v>
      </c>
      <c r="B265" s="19" t="s">
        <v>497</v>
      </c>
      <c r="C265" s="148" t="s">
        <v>185</v>
      </c>
      <c r="D265" s="93">
        <v>16</v>
      </c>
      <c r="E265" s="93">
        <v>16</v>
      </c>
      <c r="F265" s="93">
        <v>21</v>
      </c>
      <c r="G265" s="94">
        <v>21</v>
      </c>
    </row>
    <row r="266" spans="1:7" ht="10.9" customHeight="1" x14ac:dyDescent="0.3">
      <c r="A266" s="92"/>
      <c r="B266" s="19"/>
      <c r="C266" s="148" t="s">
        <v>136</v>
      </c>
      <c r="D266" s="93">
        <v>2</v>
      </c>
      <c r="E266" s="93">
        <v>2</v>
      </c>
      <c r="F266" s="93">
        <v>3</v>
      </c>
      <c r="G266" s="94">
        <v>3</v>
      </c>
    </row>
    <row r="267" spans="1:7" ht="10.9" customHeight="1" x14ac:dyDescent="0.3">
      <c r="A267" s="586">
        <v>354</v>
      </c>
      <c r="B267" s="10" t="s">
        <v>64</v>
      </c>
      <c r="C267" s="574" t="s">
        <v>267</v>
      </c>
      <c r="D267" s="64"/>
      <c r="E267" s="64">
        <v>15</v>
      </c>
      <c r="F267" s="64"/>
      <c r="G267" s="575">
        <v>30</v>
      </c>
    </row>
    <row r="268" spans="1:7" ht="10.9" customHeight="1" x14ac:dyDescent="0.3">
      <c r="A268" s="586"/>
      <c r="B268" s="10"/>
      <c r="C268" s="19" t="s">
        <v>56</v>
      </c>
      <c r="D268" s="93">
        <f>8*E267/1000</f>
        <v>0.12</v>
      </c>
      <c r="E268" s="93">
        <f>8*E267/1000</f>
        <v>0.12</v>
      </c>
      <c r="F268" s="93">
        <f>8*G267/1000</f>
        <v>0.24</v>
      </c>
      <c r="G268" s="94">
        <f>8*G267/1000</f>
        <v>0.24</v>
      </c>
    </row>
    <row r="269" spans="1:7" ht="10.9" customHeight="1" x14ac:dyDescent="0.3">
      <c r="A269" s="586"/>
      <c r="B269" s="10"/>
      <c r="C269" s="19" t="s">
        <v>65</v>
      </c>
      <c r="D269" s="93">
        <f>250*E267/1000</f>
        <v>3.75</v>
      </c>
      <c r="E269" s="93">
        <f>250*E267/1000</f>
        <v>3.75</v>
      </c>
      <c r="F269" s="93">
        <f>250*G267/1000</f>
        <v>7.5</v>
      </c>
      <c r="G269" s="94">
        <f>250*G267/1000</f>
        <v>7.5</v>
      </c>
    </row>
    <row r="270" spans="1:7" ht="10.9" customHeight="1" x14ac:dyDescent="0.3">
      <c r="A270" s="586"/>
      <c r="B270" s="10"/>
      <c r="C270" s="19" t="s">
        <v>340</v>
      </c>
      <c r="D270" s="93">
        <f>110*E267/1000</f>
        <v>1.65</v>
      </c>
      <c r="E270" s="93">
        <f>110*E267/1000</f>
        <v>1.65</v>
      </c>
      <c r="F270" s="93">
        <f>110*G267/1000</f>
        <v>3.3</v>
      </c>
      <c r="G270" s="94">
        <f>110*G267/1000</f>
        <v>3.3</v>
      </c>
    </row>
    <row r="271" spans="1:7" ht="10.9" customHeight="1" x14ac:dyDescent="0.3">
      <c r="A271" s="586"/>
      <c r="B271" s="10"/>
      <c r="C271" s="19" t="s">
        <v>109</v>
      </c>
      <c r="D271" s="93">
        <f>75*E267/1000</f>
        <v>1.125</v>
      </c>
      <c r="E271" s="93">
        <f>75*E267/1000</f>
        <v>1.125</v>
      </c>
      <c r="F271" s="93">
        <f>75*G267/1000</f>
        <v>2.25</v>
      </c>
      <c r="G271" s="94">
        <f>75*G267/1000</f>
        <v>2.25</v>
      </c>
    </row>
    <row r="272" spans="1:7" ht="10.9" customHeight="1" x14ac:dyDescent="0.3">
      <c r="A272" s="586"/>
      <c r="B272" s="10"/>
      <c r="C272" s="19" t="s">
        <v>54</v>
      </c>
      <c r="D272" s="93">
        <f>750*E267/1000</f>
        <v>11.25</v>
      </c>
      <c r="E272" s="93">
        <f>750*E267/1000</f>
        <v>11.25</v>
      </c>
      <c r="F272" s="93">
        <f>750*G267/1000</f>
        <v>22.5</v>
      </c>
      <c r="G272" s="94">
        <f>750*G267/1000</f>
        <v>22.5</v>
      </c>
    </row>
    <row r="273" spans="1:7" ht="10.9" customHeight="1" x14ac:dyDescent="0.3">
      <c r="A273" s="11">
        <v>342</v>
      </c>
      <c r="B273" s="10" t="s">
        <v>469</v>
      </c>
      <c r="C273" s="10" t="s">
        <v>163</v>
      </c>
      <c r="D273" s="93">
        <f>E273*1.33</f>
        <v>26.6</v>
      </c>
      <c r="E273" s="93">
        <f>200*100/1000</f>
        <v>20</v>
      </c>
      <c r="F273" s="662">
        <f>G273*1.33</f>
        <v>34.58</v>
      </c>
      <c r="G273" s="663">
        <f>200*130/1000</f>
        <v>26</v>
      </c>
    </row>
    <row r="274" spans="1:7" ht="10.9" customHeight="1" x14ac:dyDescent="0.3">
      <c r="A274" s="92"/>
      <c r="B274" s="10" t="s">
        <v>588</v>
      </c>
      <c r="C274" s="10" t="s">
        <v>164</v>
      </c>
      <c r="D274" s="93">
        <f>E274*1.43</f>
        <v>28.599999999999998</v>
      </c>
      <c r="E274" s="93">
        <f>200*100/1000</f>
        <v>20</v>
      </c>
      <c r="F274" s="662">
        <f>G274*1.43</f>
        <v>37.18</v>
      </c>
      <c r="G274" s="663">
        <f>200*130/1000</f>
        <v>26</v>
      </c>
    </row>
    <row r="275" spans="1:7" ht="10.9" customHeight="1" x14ac:dyDescent="0.3">
      <c r="A275" s="92"/>
      <c r="B275" s="10"/>
      <c r="C275" s="10" t="s">
        <v>165</v>
      </c>
      <c r="D275" s="93">
        <f>E275*1.54</f>
        <v>30.8</v>
      </c>
      <c r="E275" s="93">
        <f>200*100/1000</f>
        <v>20</v>
      </c>
      <c r="F275" s="662">
        <f>G275*1.54</f>
        <v>40.04</v>
      </c>
      <c r="G275" s="663">
        <f>200*130/1000</f>
        <v>26</v>
      </c>
    </row>
    <row r="276" spans="1:7" ht="10.9" customHeight="1" x14ac:dyDescent="0.3">
      <c r="A276" s="92"/>
      <c r="B276" s="10"/>
      <c r="C276" s="10" t="s">
        <v>166</v>
      </c>
      <c r="D276" s="93">
        <f>E276*1.67</f>
        <v>33.4</v>
      </c>
      <c r="E276" s="93">
        <f>200*100/1000</f>
        <v>20</v>
      </c>
      <c r="F276" s="662">
        <f>G276*1.67</f>
        <v>43.42</v>
      </c>
      <c r="G276" s="663">
        <f>200*130/1000</f>
        <v>26</v>
      </c>
    </row>
    <row r="277" spans="1:7" ht="10.9" customHeight="1" x14ac:dyDescent="0.3">
      <c r="A277" s="92"/>
      <c r="B277" s="10"/>
      <c r="C277" s="19" t="s">
        <v>498</v>
      </c>
      <c r="D277" s="93">
        <f>196*100/1000</f>
        <v>19.600000000000001</v>
      </c>
      <c r="E277" s="93">
        <f>102*100/1000</f>
        <v>10.199999999999999</v>
      </c>
      <c r="F277" s="662">
        <f>196*130/1000</f>
        <v>25.48</v>
      </c>
      <c r="G277" s="663">
        <f>102*130/1000</f>
        <v>13.26</v>
      </c>
    </row>
    <row r="278" spans="1:7" ht="10.9" customHeight="1" x14ac:dyDescent="0.3">
      <c r="A278" s="92"/>
      <c r="B278" s="10"/>
      <c r="C278" s="19" t="s">
        <v>60</v>
      </c>
      <c r="D278" s="93">
        <f>238*100/1000</f>
        <v>23.8</v>
      </c>
      <c r="E278" s="93">
        <f>200*100/1000</f>
        <v>20</v>
      </c>
      <c r="F278" s="662">
        <f>238*130/1000</f>
        <v>30.94</v>
      </c>
      <c r="G278" s="663">
        <f>200*130/1000</f>
        <v>26</v>
      </c>
    </row>
    <row r="279" spans="1:7" ht="10.9" customHeight="1" x14ac:dyDescent="0.3">
      <c r="A279" s="92"/>
      <c r="B279" s="19"/>
      <c r="C279" s="19" t="s">
        <v>141</v>
      </c>
      <c r="D279" s="93">
        <f>123*100/1000</f>
        <v>12.3</v>
      </c>
      <c r="E279" s="93">
        <f>80*100/1000</f>
        <v>8</v>
      </c>
      <c r="F279" s="662">
        <f>123*130/1000</f>
        <v>15.99</v>
      </c>
      <c r="G279" s="663">
        <f>80*130/1000</f>
        <v>10.4</v>
      </c>
    </row>
    <row r="280" spans="1:7" ht="10.9" customHeight="1" x14ac:dyDescent="0.3">
      <c r="A280" s="92"/>
      <c r="B280" s="10"/>
      <c r="C280" s="19" t="s">
        <v>103</v>
      </c>
      <c r="D280" s="93">
        <f>40*100/1000</f>
        <v>4</v>
      </c>
      <c r="E280" s="93">
        <f>40*100/1000</f>
        <v>4</v>
      </c>
      <c r="F280" s="662">
        <f>40*130/1000</f>
        <v>5.2</v>
      </c>
      <c r="G280" s="663">
        <f>40*130/1000</f>
        <v>5.2</v>
      </c>
    </row>
    <row r="281" spans="1:7" ht="10.9" customHeight="1" x14ac:dyDescent="0.3">
      <c r="A281" s="92"/>
      <c r="B281" s="10"/>
      <c r="C281" s="19" t="s">
        <v>171</v>
      </c>
      <c r="D281" s="93">
        <f>51*100/1000</f>
        <v>5.0999999999999996</v>
      </c>
      <c r="E281" s="93">
        <f>24*100/1000</f>
        <v>2.4</v>
      </c>
      <c r="F281" s="662">
        <f>51*130/1000</f>
        <v>6.63</v>
      </c>
      <c r="G281" s="663">
        <f>24*130/1000</f>
        <v>3.12</v>
      </c>
    </row>
    <row r="282" spans="1:7" ht="10.9" customHeight="1" x14ac:dyDescent="0.3">
      <c r="A282" s="92"/>
      <c r="B282" s="10"/>
      <c r="C282" s="19" t="s">
        <v>62</v>
      </c>
      <c r="D282" s="93">
        <f>228*100/1000</f>
        <v>22.8</v>
      </c>
      <c r="E282" s="93">
        <f>182*100/1000</f>
        <v>18.2</v>
      </c>
      <c r="F282" s="662">
        <f>228*130/1000</f>
        <v>29.64</v>
      </c>
      <c r="G282" s="663">
        <f>182*130/1000</f>
        <v>23.66</v>
      </c>
    </row>
    <row r="283" spans="1:7" ht="10.9" customHeight="1" x14ac:dyDescent="0.3">
      <c r="A283" s="92"/>
      <c r="B283" s="10"/>
      <c r="C283" s="19" t="s">
        <v>251</v>
      </c>
      <c r="D283" s="93">
        <f>179*100/1000</f>
        <v>17.899999999999999</v>
      </c>
      <c r="E283" s="93">
        <f>120*100/1000</f>
        <v>12</v>
      </c>
      <c r="F283" s="662">
        <f>179*130/1000</f>
        <v>23.27</v>
      </c>
      <c r="G283" s="663">
        <f>120*130/1000</f>
        <v>15.6</v>
      </c>
    </row>
    <row r="284" spans="1:7" ht="10.9" customHeight="1" x14ac:dyDescent="0.3">
      <c r="A284" s="92"/>
      <c r="B284" s="10"/>
      <c r="C284" s="19" t="s">
        <v>224</v>
      </c>
      <c r="D284" s="93">
        <f>300*100/1000</f>
        <v>30</v>
      </c>
      <c r="E284" s="93">
        <f>300*100/1000</f>
        <v>30</v>
      </c>
      <c r="F284" s="662">
        <f>300*130/1000</f>
        <v>39</v>
      </c>
      <c r="G284" s="663">
        <f>300*130/1000</f>
        <v>39</v>
      </c>
    </row>
    <row r="285" spans="1:7" ht="10.9" customHeight="1" x14ac:dyDescent="0.3">
      <c r="A285" s="92"/>
      <c r="B285" s="10"/>
      <c r="C285" s="19" t="s">
        <v>56</v>
      </c>
      <c r="D285" s="93">
        <v>0.5</v>
      </c>
      <c r="E285" s="93">
        <v>0.5</v>
      </c>
      <c r="F285" s="662">
        <v>0.5</v>
      </c>
      <c r="G285" s="663">
        <v>0.5</v>
      </c>
    </row>
    <row r="286" spans="1:7" ht="10.9" customHeight="1" x14ac:dyDescent="0.3">
      <c r="A286" s="11">
        <v>372</v>
      </c>
      <c r="B286" s="10" t="s">
        <v>259</v>
      </c>
      <c r="C286" s="10" t="s">
        <v>172</v>
      </c>
      <c r="D286" s="93">
        <f>227*150/1000</f>
        <v>34.049999999999997</v>
      </c>
      <c r="E286" s="93">
        <f>200*150/1000</f>
        <v>30</v>
      </c>
      <c r="F286" s="93">
        <f>227*180/1000</f>
        <v>40.86</v>
      </c>
      <c r="G286" s="94">
        <f>200*180/1000</f>
        <v>36</v>
      </c>
    </row>
    <row r="287" spans="1:7" ht="10.9" customHeight="1" x14ac:dyDescent="0.3">
      <c r="A287" s="11"/>
      <c r="B287" s="10"/>
      <c r="C287" s="19" t="s">
        <v>499</v>
      </c>
      <c r="D287" s="96">
        <f>222*150/1000</f>
        <v>33.299999999999997</v>
      </c>
      <c r="E287" s="96">
        <f>200*150/1000</f>
        <v>30</v>
      </c>
      <c r="F287" s="96">
        <f>222*180/1000</f>
        <v>39.96</v>
      </c>
      <c r="G287" s="587">
        <f>200*180/1000</f>
        <v>36</v>
      </c>
    </row>
    <row r="288" spans="1:7" ht="10.9" customHeight="1" x14ac:dyDescent="0.3">
      <c r="A288" s="92"/>
      <c r="B288" s="10"/>
      <c r="C288" s="10" t="s">
        <v>55</v>
      </c>
      <c r="D288" s="93">
        <f>100*150/1000</f>
        <v>15</v>
      </c>
      <c r="E288" s="93">
        <f>100*150/1000</f>
        <v>15</v>
      </c>
      <c r="F288" s="93">
        <f>100*180/1000</f>
        <v>18</v>
      </c>
      <c r="G288" s="94">
        <f>100*180/1000</f>
        <v>18</v>
      </c>
    </row>
    <row r="289" spans="1:7" ht="10.9" customHeight="1" x14ac:dyDescent="0.3">
      <c r="A289" s="92"/>
      <c r="B289" s="10"/>
      <c r="C289" s="10" t="s">
        <v>54</v>
      </c>
      <c r="D289" s="93">
        <f>860*150/1000</f>
        <v>129</v>
      </c>
      <c r="E289" s="93">
        <f>860*150/1000</f>
        <v>129</v>
      </c>
      <c r="F289" s="93">
        <f>860*180/1000</f>
        <v>154.80000000000001</v>
      </c>
      <c r="G289" s="94">
        <f>860*180/1000</f>
        <v>154.80000000000001</v>
      </c>
    </row>
    <row r="290" spans="1:7" ht="10.9" customHeight="1" x14ac:dyDescent="0.3">
      <c r="A290" s="92"/>
      <c r="B290" s="10"/>
      <c r="C290" s="19" t="s">
        <v>247</v>
      </c>
      <c r="D290" s="96">
        <f>211*150/1000</f>
        <v>31.65</v>
      </c>
      <c r="E290" s="96">
        <f>200*150/1000</f>
        <v>30</v>
      </c>
      <c r="F290" s="96">
        <f>211*180/1000</f>
        <v>37.979999999999997</v>
      </c>
      <c r="G290" s="587">
        <f>200*180/1000</f>
        <v>36</v>
      </c>
    </row>
    <row r="291" spans="1:7" ht="10.9" customHeight="1" x14ac:dyDescent="0.3">
      <c r="A291" s="92"/>
      <c r="B291" s="10"/>
      <c r="C291" s="19" t="s">
        <v>54</v>
      </c>
      <c r="D291" s="96">
        <f>830*150/1000</f>
        <v>124.5</v>
      </c>
      <c r="E291" s="96">
        <f>830*150/1000</f>
        <v>124.5</v>
      </c>
      <c r="F291" s="96">
        <f>830*180/1000</f>
        <v>149.4</v>
      </c>
      <c r="G291" s="587">
        <f>830*180/1000</f>
        <v>149.4</v>
      </c>
    </row>
    <row r="292" spans="1:7" ht="10.9" customHeight="1" x14ac:dyDescent="0.3">
      <c r="A292" s="92"/>
      <c r="B292" s="10"/>
      <c r="C292" s="19" t="s">
        <v>55</v>
      </c>
      <c r="D292" s="96">
        <f>100*150/1000</f>
        <v>15</v>
      </c>
      <c r="E292" s="96">
        <f>100*150/1000</f>
        <v>15</v>
      </c>
      <c r="F292" s="96">
        <f>100*180/1000</f>
        <v>18</v>
      </c>
      <c r="G292" s="587">
        <f>100*180/1000</f>
        <v>18</v>
      </c>
    </row>
    <row r="293" spans="1:7" ht="10.9" customHeight="1" x14ac:dyDescent="0.3">
      <c r="A293" s="92">
        <v>1</v>
      </c>
      <c r="B293" s="10" t="s">
        <v>72</v>
      </c>
      <c r="C293" s="10" t="s">
        <v>48</v>
      </c>
      <c r="D293" s="93">
        <v>20</v>
      </c>
      <c r="E293" s="93">
        <v>20</v>
      </c>
      <c r="F293" s="93">
        <v>25</v>
      </c>
      <c r="G293" s="94">
        <v>25</v>
      </c>
    </row>
    <row r="294" spans="1:7" ht="10.9" customHeight="1" thickBot="1" x14ac:dyDescent="0.35">
      <c r="A294" s="95">
        <v>1</v>
      </c>
      <c r="B294" s="125" t="s">
        <v>107</v>
      </c>
      <c r="C294" s="125" t="s">
        <v>49</v>
      </c>
      <c r="D294" s="589">
        <v>17</v>
      </c>
      <c r="E294" s="589">
        <v>17</v>
      </c>
      <c r="F294" s="589">
        <v>21</v>
      </c>
      <c r="G294" s="590">
        <v>21</v>
      </c>
    </row>
    <row r="295" spans="1:7" ht="10.9" customHeight="1" x14ac:dyDescent="0.3">
      <c r="A295" s="509">
        <v>236</v>
      </c>
      <c r="B295" s="16" t="s">
        <v>334</v>
      </c>
      <c r="C295" s="16" t="s">
        <v>92</v>
      </c>
      <c r="D295" s="568">
        <v>38</v>
      </c>
      <c r="E295" s="568">
        <v>37.5</v>
      </c>
      <c r="F295" s="568">
        <v>76</v>
      </c>
      <c r="G295" s="569">
        <v>75</v>
      </c>
    </row>
    <row r="296" spans="1:7" ht="10.9" customHeight="1" x14ac:dyDescent="0.3">
      <c r="A296" s="570"/>
      <c r="B296" s="10" t="s">
        <v>500</v>
      </c>
      <c r="C296" s="10" t="s">
        <v>108</v>
      </c>
      <c r="D296" s="93">
        <v>7</v>
      </c>
      <c r="E296" s="93">
        <v>7</v>
      </c>
      <c r="F296" s="93">
        <v>14</v>
      </c>
      <c r="G296" s="94">
        <v>14</v>
      </c>
    </row>
    <row r="297" spans="1:7" ht="10.9" customHeight="1" x14ac:dyDescent="0.3">
      <c r="A297" s="570"/>
      <c r="B297" s="10"/>
      <c r="C297" s="10" t="s">
        <v>121</v>
      </c>
      <c r="D297" s="93">
        <v>3</v>
      </c>
      <c r="E297" s="93">
        <v>3</v>
      </c>
      <c r="F297" s="93">
        <v>6</v>
      </c>
      <c r="G297" s="94">
        <v>6</v>
      </c>
    </row>
    <row r="298" spans="1:7" ht="10.9" customHeight="1" x14ac:dyDescent="0.3">
      <c r="A298" s="570"/>
      <c r="B298" s="10"/>
      <c r="C298" s="10" t="s">
        <v>136</v>
      </c>
      <c r="D298" s="93">
        <v>1</v>
      </c>
      <c r="E298" s="93">
        <v>1</v>
      </c>
      <c r="F298" s="93">
        <v>3</v>
      </c>
      <c r="G298" s="94">
        <v>3</v>
      </c>
    </row>
    <row r="299" spans="1:7" ht="10.9" customHeight="1" x14ac:dyDescent="0.3">
      <c r="A299" s="570"/>
      <c r="B299" s="10"/>
      <c r="C299" s="10" t="s">
        <v>55</v>
      </c>
      <c r="D299" s="93">
        <v>4</v>
      </c>
      <c r="E299" s="93">
        <v>4</v>
      </c>
      <c r="F299" s="93">
        <v>7</v>
      </c>
      <c r="G299" s="94">
        <v>7</v>
      </c>
    </row>
    <row r="300" spans="1:7" ht="10.9" customHeight="1" x14ac:dyDescent="0.3">
      <c r="A300" s="570"/>
      <c r="B300" s="10"/>
      <c r="C300" s="10" t="s">
        <v>65</v>
      </c>
      <c r="D300" s="122">
        <v>2</v>
      </c>
      <c r="E300" s="122">
        <v>2</v>
      </c>
      <c r="F300" s="122">
        <v>3</v>
      </c>
      <c r="G300" s="581">
        <v>3</v>
      </c>
    </row>
    <row r="301" spans="1:7" ht="10.9" customHeight="1" x14ac:dyDescent="0.3">
      <c r="A301" s="570"/>
      <c r="B301" s="10"/>
      <c r="C301" s="10" t="s">
        <v>56</v>
      </c>
      <c r="D301" s="122">
        <v>0.1</v>
      </c>
      <c r="E301" s="122">
        <v>0.1</v>
      </c>
      <c r="F301" s="122">
        <v>0.2</v>
      </c>
      <c r="G301" s="581">
        <v>0.2</v>
      </c>
    </row>
    <row r="302" spans="1:7" ht="10.9" customHeight="1" x14ac:dyDescent="0.3">
      <c r="A302" s="11">
        <v>351</v>
      </c>
      <c r="B302" s="10" t="s">
        <v>213</v>
      </c>
      <c r="C302" s="19" t="s">
        <v>51</v>
      </c>
      <c r="D302" s="93">
        <f>500*30/1000</f>
        <v>15</v>
      </c>
      <c r="E302" s="93">
        <f>500*30/1000</f>
        <v>15</v>
      </c>
      <c r="F302" s="93">
        <f>500*30/1000</f>
        <v>15</v>
      </c>
      <c r="G302" s="94">
        <f>500*30/1000</f>
        <v>15</v>
      </c>
    </row>
    <row r="303" spans="1:7" ht="10.9" customHeight="1" x14ac:dyDescent="0.3">
      <c r="A303" s="11"/>
      <c r="B303" s="10"/>
      <c r="C303" s="19" t="s">
        <v>136</v>
      </c>
      <c r="D303" s="93">
        <f t="shared" ref="D303:G304" si="0">45*30/1000</f>
        <v>1.35</v>
      </c>
      <c r="E303" s="93">
        <f t="shared" si="0"/>
        <v>1.35</v>
      </c>
      <c r="F303" s="93">
        <f t="shared" si="0"/>
        <v>1.35</v>
      </c>
      <c r="G303" s="94">
        <f t="shared" si="0"/>
        <v>1.35</v>
      </c>
    </row>
    <row r="304" spans="1:7" ht="10.9" customHeight="1" x14ac:dyDescent="0.3">
      <c r="A304" s="11"/>
      <c r="B304" s="10"/>
      <c r="C304" s="19" t="s">
        <v>109</v>
      </c>
      <c r="D304" s="122">
        <f t="shared" si="0"/>
        <v>1.35</v>
      </c>
      <c r="E304" s="122">
        <f t="shared" si="0"/>
        <v>1.35</v>
      </c>
      <c r="F304" s="122">
        <f t="shared" si="0"/>
        <v>1.35</v>
      </c>
      <c r="G304" s="581">
        <f t="shared" si="0"/>
        <v>1.35</v>
      </c>
    </row>
    <row r="305" spans="1:16" ht="10.9" customHeight="1" x14ac:dyDescent="0.3">
      <c r="A305" s="11"/>
      <c r="B305" s="10"/>
      <c r="C305" s="19" t="s">
        <v>54</v>
      </c>
      <c r="D305" s="93">
        <f>500*30/1000</f>
        <v>15</v>
      </c>
      <c r="E305" s="93">
        <f>500*30/1000</f>
        <v>15</v>
      </c>
      <c r="F305" s="93">
        <f>500*30/1000</f>
        <v>15</v>
      </c>
      <c r="G305" s="94">
        <f>500*30/1000</f>
        <v>15</v>
      </c>
    </row>
    <row r="306" spans="1:16" ht="10.9" customHeight="1" x14ac:dyDescent="0.3">
      <c r="A306" s="11"/>
      <c r="B306" s="10"/>
      <c r="C306" s="19" t="s">
        <v>55</v>
      </c>
      <c r="D306" s="93">
        <f>80*30/1000</f>
        <v>2.4</v>
      </c>
      <c r="E306" s="93">
        <f>80*30/1000</f>
        <v>2.4</v>
      </c>
      <c r="F306" s="93">
        <f>80*30/1000</f>
        <v>2.4</v>
      </c>
      <c r="G306" s="94">
        <f>80*30/1000</f>
        <v>2.4</v>
      </c>
    </row>
    <row r="307" spans="1:16" ht="10.9" customHeight="1" x14ac:dyDescent="0.3">
      <c r="A307" s="11"/>
      <c r="B307" s="10"/>
      <c r="C307" s="19" t="s">
        <v>142</v>
      </c>
      <c r="D307" s="601">
        <f>0.05*30/1000</f>
        <v>1.5E-3</v>
      </c>
      <c r="E307" s="601">
        <f>0.05*30/1000</f>
        <v>1.5E-3</v>
      </c>
      <c r="F307" s="601">
        <f>0.05*30/1000</f>
        <v>1.5E-3</v>
      </c>
      <c r="G307" s="602">
        <f>0.05*30/1000</f>
        <v>1.5E-3</v>
      </c>
    </row>
    <row r="308" spans="1:16" s="2" customFormat="1" ht="10.9" customHeight="1" x14ac:dyDescent="0.3">
      <c r="A308" s="11">
        <v>401</v>
      </c>
      <c r="B308" s="10" t="s">
        <v>156</v>
      </c>
      <c r="C308" s="10" t="s">
        <v>183</v>
      </c>
      <c r="D308" s="662">
        <v>155</v>
      </c>
      <c r="E308" s="662">
        <v>150</v>
      </c>
      <c r="F308" s="662">
        <v>185</v>
      </c>
      <c r="G308" s="663">
        <v>180</v>
      </c>
      <c r="H308" s="60"/>
      <c r="I308" s="60"/>
      <c r="J308" s="60"/>
      <c r="K308" s="60"/>
      <c r="L308" s="60"/>
      <c r="M308" s="60"/>
      <c r="N308" s="60"/>
      <c r="O308" s="60"/>
      <c r="P308" s="60"/>
    </row>
    <row r="309" spans="1:16" s="2" customFormat="1" ht="33" customHeight="1" thickBot="1" x14ac:dyDescent="0.35">
      <c r="A309" s="28">
        <v>1</v>
      </c>
      <c r="B309" s="12" t="s">
        <v>107</v>
      </c>
      <c r="C309" s="12" t="s">
        <v>106</v>
      </c>
      <c r="D309" s="63">
        <v>17</v>
      </c>
      <c r="E309" s="63">
        <v>17</v>
      </c>
      <c r="F309" s="63">
        <v>21</v>
      </c>
      <c r="G309" s="184">
        <v>21</v>
      </c>
      <c r="H309" s="60"/>
      <c r="I309" s="60"/>
      <c r="J309" s="60"/>
      <c r="K309" s="60"/>
      <c r="L309" s="60"/>
      <c r="M309" s="60"/>
      <c r="N309" s="60"/>
      <c r="O309" s="60"/>
      <c r="P309" s="60"/>
    </row>
    <row r="310" spans="1:16" s="2" customFormat="1" ht="11.5" customHeight="1" thickBot="1" x14ac:dyDescent="0.35">
      <c r="A310" s="290"/>
      <c r="B310" s="156"/>
      <c r="C310" s="291"/>
      <c r="D310" s="877" t="s">
        <v>69</v>
      </c>
      <c r="E310" s="874"/>
      <c r="F310" s="873" t="s">
        <v>70</v>
      </c>
      <c r="G310" s="874"/>
      <c r="H310" s="60"/>
      <c r="I310" s="60"/>
      <c r="J310" s="60"/>
      <c r="K310" s="60"/>
      <c r="L310" s="60"/>
      <c r="M310" s="60"/>
      <c r="N310" s="60"/>
      <c r="O310" s="60"/>
      <c r="P310" s="60"/>
    </row>
    <row r="311" spans="1:16" s="2" customFormat="1" ht="11.5" customHeight="1" thickBot="1" x14ac:dyDescent="0.35">
      <c r="A311" s="175" t="s">
        <v>131</v>
      </c>
      <c r="B311" s="225" t="s">
        <v>589</v>
      </c>
      <c r="C311" s="225"/>
      <c r="D311" s="173" t="s">
        <v>91</v>
      </c>
      <c r="E311" s="174" t="s">
        <v>46</v>
      </c>
      <c r="F311" s="173" t="s">
        <v>91</v>
      </c>
      <c r="G311" s="174" t="s">
        <v>46</v>
      </c>
      <c r="H311" s="60"/>
      <c r="I311" s="60"/>
      <c r="J311" s="60"/>
      <c r="K311" s="60"/>
      <c r="L311" s="60"/>
      <c r="M311" s="60"/>
      <c r="N311" s="60"/>
      <c r="O311" s="60"/>
      <c r="P311" s="60"/>
    </row>
    <row r="312" spans="1:16" s="2" customFormat="1" ht="11.5" customHeight="1" x14ac:dyDescent="0.3">
      <c r="A312" s="509">
        <v>228</v>
      </c>
      <c r="B312" s="16" t="s">
        <v>389</v>
      </c>
      <c r="C312" s="603" t="s">
        <v>121</v>
      </c>
      <c r="D312" s="604">
        <v>80</v>
      </c>
      <c r="E312" s="604">
        <v>80</v>
      </c>
      <c r="F312" s="604">
        <v>80</v>
      </c>
      <c r="G312" s="605">
        <v>80</v>
      </c>
      <c r="H312" s="60"/>
      <c r="I312" s="60"/>
      <c r="J312" s="60"/>
      <c r="K312" s="60"/>
      <c r="L312" s="60"/>
      <c r="M312" s="60"/>
      <c r="N312" s="60"/>
      <c r="O312" s="60"/>
      <c r="P312" s="60"/>
    </row>
    <row r="313" spans="1:16" s="2" customFormat="1" ht="11.5" customHeight="1" x14ac:dyDescent="0.25">
      <c r="A313" s="152"/>
      <c r="B313" s="153" t="s">
        <v>426</v>
      </c>
      <c r="C313" s="606" t="s">
        <v>51</v>
      </c>
      <c r="D313" s="607">
        <v>25</v>
      </c>
      <c r="E313" s="607">
        <v>25</v>
      </c>
      <c r="F313" s="607">
        <v>25</v>
      </c>
      <c r="G313" s="608">
        <f>15*100/60</f>
        <v>25</v>
      </c>
      <c r="H313" s="60"/>
      <c r="I313" s="60"/>
      <c r="J313" s="60"/>
      <c r="K313" s="60"/>
      <c r="L313" s="60"/>
      <c r="M313" s="60"/>
      <c r="N313" s="60"/>
      <c r="O313" s="60"/>
      <c r="P313" s="60"/>
    </row>
    <row r="314" spans="1:16" s="2" customFormat="1" ht="11.5" customHeight="1" x14ac:dyDescent="0.25">
      <c r="A314" s="152"/>
      <c r="B314" s="153"/>
      <c r="C314" s="606" t="s">
        <v>135</v>
      </c>
      <c r="D314" s="607">
        <f>D313*0.12</f>
        <v>3</v>
      </c>
      <c r="E314" s="607">
        <f>E313*0.12</f>
        <v>3</v>
      </c>
      <c r="F314" s="607">
        <f>F313*0.12</f>
        <v>3</v>
      </c>
      <c r="G314" s="608">
        <f>G313*0.12</f>
        <v>3</v>
      </c>
      <c r="H314" s="60"/>
      <c r="I314" s="60"/>
      <c r="J314" s="60"/>
      <c r="K314" s="60"/>
      <c r="L314" s="60"/>
      <c r="M314" s="60"/>
      <c r="N314" s="60"/>
      <c r="O314" s="60"/>
      <c r="P314" s="60"/>
    </row>
    <row r="315" spans="1:16" s="2" customFormat="1" ht="11.5" customHeight="1" x14ac:dyDescent="0.25">
      <c r="A315" s="152"/>
      <c r="B315" s="153"/>
      <c r="C315" s="606" t="s">
        <v>136</v>
      </c>
      <c r="D315" s="607">
        <v>5</v>
      </c>
      <c r="E315" s="607">
        <v>5</v>
      </c>
      <c r="F315" s="607">
        <v>5</v>
      </c>
      <c r="G315" s="608">
        <v>5</v>
      </c>
      <c r="H315" s="60"/>
      <c r="I315" s="60"/>
      <c r="J315" s="60"/>
      <c r="K315" s="60"/>
      <c r="L315" s="60"/>
      <c r="M315" s="60"/>
      <c r="N315" s="60"/>
      <c r="O315" s="60"/>
      <c r="P315" s="60"/>
    </row>
    <row r="316" spans="1:16" s="2" customFormat="1" ht="11.5" customHeight="1" x14ac:dyDescent="0.25">
      <c r="A316" s="152"/>
      <c r="B316" s="153"/>
      <c r="C316" s="606" t="s">
        <v>109</v>
      </c>
      <c r="D316" s="607">
        <v>6.7</v>
      </c>
      <c r="E316" s="607">
        <v>6.7</v>
      </c>
      <c r="F316" s="607">
        <v>6.7</v>
      </c>
      <c r="G316" s="608">
        <v>6.7</v>
      </c>
      <c r="H316" s="60"/>
      <c r="I316" s="60"/>
      <c r="J316" s="60"/>
      <c r="K316" s="60"/>
      <c r="L316" s="60"/>
      <c r="M316" s="60"/>
      <c r="N316" s="60"/>
      <c r="O316" s="60"/>
      <c r="P316" s="60"/>
    </row>
    <row r="317" spans="1:16" s="2" customFormat="1" ht="11.5" customHeight="1" x14ac:dyDescent="0.3">
      <c r="A317" s="92"/>
      <c r="B317" s="10"/>
      <c r="C317" s="10" t="s">
        <v>65</v>
      </c>
      <c r="D317" s="93">
        <v>10</v>
      </c>
      <c r="E317" s="93">
        <v>10</v>
      </c>
      <c r="F317" s="93">
        <v>10</v>
      </c>
      <c r="G317" s="94">
        <v>10</v>
      </c>
      <c r="H317" s="60"/>
      <c r="I317" s="60"/>
      <c r="J317" s="60"/>
      <c r="K317" s="60"/>
      <c r="L317" s="60"/>
      <c r="M317" s="60"/>
      <c r="N317" s="60"/>
      <c r="O317" s="60"/>
      <c r="P317" s="60"/>
    </row>
    <row r="318" spans="1:16" s="2" customFormat="1" ht="11.5" customHeight="1" x14ac:dyDescent="0.3">
      <c r="A318" s="92"/>
      <c r="B318" s="10"/>
      <c r="C318" s="10"/>
      <c r="D318" s="93"/>
      <c r="E318" s="93"/>
      <c r="F318" s="93"/>
      <c r="G318" s="94"/>
      <c r="H318" s="60"/>
      <c r="I318" s="60"/>
      <c r="J318" s="60"/>
      <c r="K318" s="60"/>
      <c r="L318" s="60"/>
      <c r="M318" s="60"/>
      <c r="N318" s="60"/>
      <c r="O318" s="60"/>
      <c r="P318" s="60"/>
    </row>
    <row r="319" spans="1:16" s="2" customFormat="1" ht="11.5" customHeight="1" x14ac:dyDescent="0.3">
      <c r="A319" s="139">
        <v>1</v>
      </c>
      <c r="B319" s="10" t="s">
        <v>283</v>
      </c>
      <c r="C319" s="10" t="s">
        <v>284</v>
      </c>
      <c r="D319" s="93">
        <v>24</v>
      </c>
      <c r="E319" s="93">
        <v>24</v>
      </c>
      <c r="F319" s="93">
        <v>30</v>
      </c>
      <c r="G319" s="94">
        <v>30</v>
      </c>
      <c r="H319" s="60"/>
      <c r="I319" s="60"/>
      <c r="J319" s="60"/>
      <c r="K319" s="60"/>
      <c r="L319" s="60"/>
      <c r="M319" s="60"/>
      <c r="N319" s="60"/>
      <c r="O319" s="60"/>
      <c r="P319" s="60"/>
    </row>
    <row r="320" spans="1:16" s="2" customFormat="1" ht="11.5" customHeight="1" x14ac:dyDescent="0.3">
      <c r="A320" s="11">
        <v>400</v>
      </c>
      <c r="B320" s="10" t="s">
        <v>390</v>
      </c>
      <c r="C320" s="10" t="s">
        <v>51</v>
      </c>
      <c r="D320" s="662">
        <v>160.69999999999999</v>
      </c>
      <c r="E320" s="662">
        <v>150</v>
      </c>
      <c r="F320" s="662">
        <v>190.7</v>
      </c>
      <c r="G320" s="663">
        <v>180</v>
      </c>
      <c r="H320" s="60"/>
      <c r="I320" s="60"/>
      <c r="J320" s="60"/>
      <c r="K320" s="60"/>
      <c r="L320" s="60"/>
      <c r="M320" s="60"/>
      <c r="N320" s="60"/>
      <c r="O320" s="60"/>
      <c r="P320" s="60"/>
    </row>
    <row r="321" spans="1:16" s="2" customFormat="1" ht="11.5" customHeight="1" thickBot="1" x14ac:dyDescent="0.35">
      <c r="A321" s="28"/>
      <c r="B321" s="609" t="s">
        <v>59</v>
      </c>
      <c r="C321" s="12"/>
      <c r="D321" s="63"/>
      <c r="E321" s="63"/>
      <c r="F321" s="63"/>
      <c r="G321" s="184"/>
      <c r="H321" s="60"/>
      <c r="I321" s="60"/>
      <c r="J321" s="60"/>
      <c r="K321" s="60"/>
      <c r="L321" s="60"/>
      <c r="M321" s="60"/>
      <c r="N321" s="60"/>
      <c r="O321" s="60"/>
      <c r="P321" s="60"/>
    </row>
    <row r="322" spans="1:16" s="2" customFormat="1" ht="11.5" customHeight="1" thickBot="1" x14ac:dyDescent="0.35">
      <c r="A322" s="185" t="s">
        <v>2</v>
      </c>
      <c r="B322" s="48" t="s">
        <v>624</v>
      </c>
      <c r="C322" s="48" t="s">
        <v>47</v>
      </c>
      <c r="D322" s="582">
        <v>200</v>
      </c>
      <c r="E322" s="582">
        <v>200</v>
      </c>
      <c r="F322" s="674">
        <v>180</v>
      </c>
      <c r="G322" s="687">
        <v>180</v>
      </c>
      <c r="H322" s="60"/>
      <c r="I322" s="60"/>
      <c r="J322" s="60"/>
      <c r="K322" s="60"/>
      <c r="L322" s="60"/>
      <c r="M322" s="60"/>
      <c r="N322" s="60"/>
      <c r="O322" s="60"/>
      <c r="P322" s="60"/>
    </row>
    <row r="323" spans="1:16" s="2" customFormat="1" ht="11.5" customHeight="1" x14ac:dyDescent="0.3">
      <c r="A323" s="509">
        <v>13</v>
      </c>
      <c r="B323" s="16" t="s">
        <v>129</v>
      </c>
      <c r="C323" s="16" t="s">
        <v>301</v>
      </c>
      <c r="D323" s="660">
        <f>1188*30/1000</f>
        <v>35.64</v>
      </c>
      <c r="E323" s="660">
        <f>950*30/1000</f>
        <v>28.5</v>
      </c>
      <c r="F323" s="660">
        <f>1188*50/1000</f>
        <v>59.4</v>
      </c>
      <c r="G323" s="661">
        <f>950*50/1000</f>
        <v>47.5</v>
      </c>
      <c r="H323" s="60"/>
      <c r="I323" s="60"/>
      <c r="J323" s="60"/>
      <c r="K323" s="60"/>
      <c r="L323" s="60"/>
      <c r="M323" s="60"/>
      <c r="N323" s="60"/>
      <c r="O323" s="60"/>
      <c r="P323" s="60"/>
    </row>
    <row r="324" spans="1:16" s="2" customFormat="1" ht="11.5" customHeight="1" x14ac:dyDescent="0.3">
      <c r="A324" s="92"/>
      <c r="B324" s="665" t="s">
        <v>590</v>
      </c>
      <c r="C324" s="10" t="s">
        <v>103</v>
      </c>
      <c r="D324" s="662">
        <f>60*30/1000</f>
        <v>1.8</v>
      </c>
      <c r="E324" s="662">
        <f>60*30/1000</f>
        <v>1.8</v>
      </c>
      <c r="F324" s="662">
        <f>60*50/1000</f>
        <v>3</v>
      </c>
      <c r="G324" s="663">
        <f>60*50/1000</f>
        <v>3</v>
      </c>
      <c r="H324" s="60"/>
      <c r="I324" s="60"/>
      <c r="J324" s="60"/>
      <c r="K324" s="60"/>
      <c r="L324" s="60"/>
      <c r="M324" s="60"/>
      <c r="N324" s="60"/>
      <c r="O324" s="60"/>
      <c r="P324" s="60"/>
    </row>
    <row r="325" spans="1:16" s="2" customFormat="1" ht="11.5" customHeight="1" x14ac:dyDescent="0.3">
      <c r="A325" s="610">
        <v>67</v>
      </c>
      <c r="B325" s="19" t="s">
        <v>279</v>
      </c>
      <c r="C325" s="10" t="s">
        <v>163</v>
      </c>
      <c r="D325" s="662">
        <f>E325*1.33</f>
        <v>23.94</v>
      </c>
      <c r="E325" s="678">
        <f>120*150/1000</f>
        <v>18</v>
      </c>
      <c r="F325" s="662">
        <f>G325*1.33</f>
        <v>28.728000000000005</v>
      </c>
      <c r="G325" s="679">
        <f>120*180/1000</f>
        <v>21.6</v>
      </c>
      <c r="H325" s="60"/>
      <c r="I325" s="60"/>
      <c r="J325" s="60"/>
      <c r="K325" s="60"/>
      <c r="L325" s="60"/>
      <c r="M325" s="60"/>
      <c r="N325" s="60"/>
      <c r="O325" s="60"/>
      <c r="P325" s="60"/>
    </row>
    <row r="326" spans="1:16" s="2" customFormat="1" ht="11.5" customHeight="1" x14ac:dyDescent="0.3">
      <c r="A326" s="154"/>
      <c r="B326" s="19"/>
      <c r="C326" s="10" t="s">
        <v>164</v>
      </c>
      <c r="D326" s="662">
        <f>E326*1.43</f>
        <v>25.74</v>
      </c>
      <c r="E326" s="678">
        <f>120*150/1000</f>
        <v>18</v>
      </c>
      <c r="F326" s="662">
        <f>G326*1.43</f>
        <v>30.888000000000002</v>
      </c>
      <c r="G326" s="679">
        <f>120*180/1000</f>
        <v>21.6</v>
      </c>
      <c r="H326" s="60"/>
      <c r="I326" s="60"/>
      <c r="J326" s="60"/>
      <c r="K326" s="60"/>
      <c r="L326" s="60"/>
      <c r="M326" s="60"/>
      <c r="N326" s="60"/>
      <c r="O326" s="60"/>
      <c r="P326" s="60"/>
    </row>
    <row r="327" spans="1:16" s="2" customFormat="1" ht="11.5" customHeight="1" x14ac:dyDescent="0.3">
      <c r="A327" s="154"/>
      <c r="B327" s="19"/>
      <c r="C327" s="10" t="s">
        <v>165</v>
      </c>
      <c r="D327" s="662">
        <f>E327*1.54</f>
        <v>27.72</v>
      </c>
      <c r="E327" s="678">
        <f>120*150/1000</f>
        <v>18</v>
      </c>
      <c r="F327" s="662">
        <f>G327*1.54</f>
        <v>33.264000000000003</v>
      </c>
      <c r="G327" s="679">
        <f>120*180/1000</f>
        <v>21.6</v>
      </c>
      <c r="H327" s="60"/>
      <c r="I327" s="60"/>
      <c r="J327" s="60"/>
      <c r="K327" s="60"/>
      <c r="L327" s="60"/>
      <c r="M327" s="60"/>
      <c r="N327" s="60"/>
      <c r="O327" s="60"/>
      <c r="P327" s="60"/>
    </row>
    <row r="328" spans="1:16" s="2" customFormat="1" ht="11.5" customHeight="1" x14ac:dyDescent="0.3">
      <c r="A328" s="154"/>
      <c r="B328" s="19"/>
      <c r="C328" s="10" t="s">
        <v>166</v>
      </c>
      <c r="D328" s="662">
        <f>E328*1.67</f>
        <v>30.06</v>
      </c>
      <c r="E328" s="678">
        <f>120*150/1000</f>
        <v>18</v>
      </c>
      <c r="F328" s="662">
        <f>G328*1.67</f>
        <v>36.072000000000003</v>
      </c>
      <c r="G328" s="679">
        <f>120*180/1000</f>
        <v>21.6</v>
      </c>
      <c r="H328" s="60"/>
      <c r="I328" s="60"/>
      <c r="J328" s="60"/>
      <c r="K328" s="60"/>
      <c r="L328" s="60"/>
      <c r="M328" s="60"/>
      <c r="N328" s="60"/>
      <c r="O328" s="60"/>
      <c r="P328" s="60"/>
    </row>
    <row r="329" spans="1:16" s="2" customFormat="1" ht="11.5" customHeight="1" x14ac:dyDescent="0.3">
      <c r="A329" s="611"/>
      <c r="B329" s="677" t="s">
        <v>607</v>
      </c>
      <c r="C329" s="148" t="s">
        <v>62</v>
      </c>
      <c r="D329" s="662">
        <f>63*150/1000</f>
        <v>9.4499999999999993</v>
      </c>
      <c r="E329" s="662">
        <f>50*150/1000</f>
        <v>7.5</v>
      </c>
      <c r="F329" s="662">
        <f>50*180/1000</f>
        <v>9</v>
      </c>
      <c r="G329" s="663">
        <f>40*180/1000</f>
        <v>7.2</v>
      </c>
      <c r="H329" s="60"/>
      <c r="I329" s="60"/>
      <c r="J329" s="60"/>
      <c r="K329" s="60"/>
      <c r="L329" s="60"/>
      <c r="M329" s="60"/>
      <c r="N329" s="60"/>
      <c r="O329" s="60"/>
      <c r="P329" s="60"/>
    </row>
    <row r="330" spans="1:16" s="2" customFormat="1" ht="11.5" customHeight="1" x14ac:dyDescent="0.3">
      <c r="A330" s="611"/>
      <c r="B330" s="19"/>
      <c r="C330" s="148" t="s">
        <v>105</v>
      </c>
      <c r="D330" s="662">
        <v>0</v>
      </c>
      <c r="E330" s="662">
        <v>0</v>
      </c>
      <c r="F330" s="662">
        <f>4*180/1000</f>
        <v>0.72</v>
      </c>
      <c r="G330" s="663">
        <f>4*180/1000</f>
        <v>0.72</v>
      </c>
      <c r="H330" s="60"/>
      <c r="I330" s="60"/>
      <c r="J330" s="60"/>
      <c r="K330" s="60"/>
      <c r="L330" s="60"/>
      <c r="M330" s="60"/>
      <c r="N330" s="60"/>
      <c r="O330" s="60"/>
      <c r="P330" s="60"/>
    </row>
    <row r="331" spans="1:16" s="2" customFormat="1" ht="11.5" customHeight="1" x14ac:dyDescent="0.3">
      <c r="A331" s="611"/>
      <c r="B331" s="19"/>
      <c r="C331" s="148" t="s">
        <v>60</v>
      </c>
      <c r="D331" s="662">
        <f>48*150/1000</f>
        <v>7.2</v>
      </c>
      <c r="E331" s="662">
        <f>40*150/1000</f>
        <v>6</v>
      </c>
      <c r="F331" s="662">
        <f>48*180/1000</f>
        <v>8.64</v>
      </c>
      <c r="G331" s="663">
        <f>40*180/1000</f>
        <v>7.2</v>
      </c>
      <c r="H331" s="60"/>
      <c r="I331" s="60"/>
      <c r="J331" s="60"/>
      <c r="K331" s="60"/>
      <c r="L331" s="60"/>
      <c r="M331" s="60"/>
      <c r="N331" s="60"/>
      <c r="O331" s="60"/>
      <c r="P331" s="60"/>
    </row>
    <row r="332" spans="1:16" s="2" customFormat="1" ht="11.5" customHeight="1" x14ac:dyDescent="0.3">
      <c r="A332" s="611"/>
      <c r="B332" s="19"/>
      <c r="C332" s="148" t="s">
        <v>134</v>
      </c>
      <c r="D332" s="662">
        <f>250*150/1000</f>
        <v>37.5</v>
      </c>
      <c r="E332" s="662">
        <f>200*150/1000</f>
        <v>30</v>
      </c>
      <c r="F332" s="662">
        <f>250*180/1000</f>
        <v>45</v>
      </c>
      <c r="G332" s="663">
        <f>200*180/1000</f>
        <v>36</v>
      </c>
      <c r="H332" s="60"/>
      <c r="I332" s="60"/>
      <c r="J332" s="60"/>
      <c r="K332" s="60"/>
      <c r="L332" s="60"/>
      <c r="M332" s="60"/>
      <c r="N332" s="60"/>
      <c r="O332" s="60"/>
      <c r="P332" s="60"/>
    </row>
    <row r="333" spans="1:16" s="2" customFormat="1" ht="11.5" customHeight="1" x14ac:dyDescent="0.3">
      <c r="A333" s="611"/>
      <c r="B333" s="19"/>
      <c r="C333" s="148" t="s">
        <v>103</v>
      </c>
      <c r="D333" s="662">
        <f>10*150/1000</f>
        <v>1.5</v>
      </c>
      <c r="E333" s="662">
        <f>10*150/1000</f>
        <v>1.5</v>
      </c>
      <c r="F333" s="662">
        <f>10*180/1000</f>
        <v>1.8</v>
      </c>
      <c r="G333" s="663">
        <f>10*180/1000</f>
        <v>1.8</v>
      </c>
      <c r="H333" s="60"/>
      <c r="I333" s="60"/>
      <c r="J333" s="60"/>
      <c r="K333" s="60"/>
      <c r="L333" s="60"/>
      <c r="M333" s="60"/>
      <c r="N333" s="60"/>
      <c r="O333" s="60"/>
      <c r="P333" s="60"/>
    </row>
    <row r="334" spans="1:16" s="2" customFormat="1" ht="11.5" customHeight="1" x14ac:dyDescent="0.3">
      <c r="A334" s="611"/>
      <c r="B334" s="19"/>
      <c r="C334" s="148" t="s">
        <v>265</v>
      </c>
      <c r="D334" s="662">
        <f>800*50/1000</f>
        <v>40</v>
      </c>
      <c r="E334" s="662">
        <f>800*150/1000</f>
        <v>120</v>
      </c>
      <c r="F334" s="662">
        <f>700*180/1000</f>
        <v>126</v>
      </c>
      <c r="G334" s="663">
        <f>700*180/1000</f>
        <v>126</v>
      </c>
      <c r="H334" s="60"/>
      <c r="I334" s="60"/>
      <c r="J334" s="60"/>
      <c r="K334" s="60"/>
      <c r="L334" s="60"/>
      <c r="M334" s="60"/>
      <c r="N334" s="60"/>
      <c r="O334" s="60"/>
      <c r="P334" s="60"/>
    </row>
    <row r="335" spans="1:16" s="2" customFormat="1" ht="11.5" customHeight="1" x14ac:dyDescent="0.3">
      <c r="A335" s="611"/>
      <c r="B335" s="19"/>
      <c r="C335" s="148" t="s">
        <v>65</v>
      </c>
      <c r="D335" s="93">
        <v>5</v>
      </c>
      <c r="E335" s="93">
        <v>5</v>
      </c>
      <c r="F335" s="93">
        <v>10</v>
      </c>
      <c r="G335" s="94">
        <v>10</v>
      </c>
      <c r="H335" s="60"/>
      <c r="I335" s="60"/>
      <c r="J335" s="60"/>
      <c r="K335" s="60"/>
      <c r="L335" s="60"/>
      <c r="M335" s="60"/>
      <c r="N335" s="60"/>
      <c r="O335" s="60"/>
      <c r="P335" s="60"/>
    </row>
    <row r="336" spans="1:16" s="2" customFormat="1" ht="11.5" customHeight="1" x14ac:dyDescent="0.3">
      <c r="A336" s="536">
        <v>256</v>
      </c>
      <c r="B336" s="10" t="s">
        <v>391</v>
      </c>
      <c r="C336" s="612" t="s">
        <v>505</v>
      </c>
      <c r="D336" s="613">
        <v>43</v>
      </c>
      <c r="E336" s="613">
        <v>41</v>
      </c>
      <c r="F336" s="613">
        <v>57</v>
      </c>
      <c r="G336" s="614">
        <v>55</v>
      </c>
      <c r="H336" s="60"/>
      <c r="I336" s="60"/>
      <c r="J336" s="60"/>
      <c r="K336" s="60"/>
      <c r="L336" s="60"/>
      <c r="M336" s="60"/>
      <c r="N336" s="60"/>
      <c r="O336" s="60"/>
      <c r="P336" s="60"/>
    </row>
    <row r="337" spans="1:16" s="2" customFormat="1" ht="11.5" customHeight="1" x14ac:dyDescent="0.3">
      <c r="A337" s="615"/>
      <c r="B337" s="616" t="s">
        <v>507</v>
      </c>
      <c r="C337" s="10" t="s">
        <v>266</v>
      </c>
      <c r="D337" s="93">
        <f>182*E337/122</f>
        <v>61.16393442622951</v>
      </c>
      <c r="E337" s="613">
        <v>41</v>
      </c>
      <c r="F337" s="93">
        <f>182*G337/122</f>
        <v>82.049180327868854</v>
      </c>
      <c r="G337" s="614">
        <v>55</v>
      </c>
      <c r="H337" s="60"/>
      <c r="I337" s="60"/>
      <c r="J337" s="60"/>
      <c r="K337" s="60"/>
      <c r="L337" s="60"/>
      <c r="M337" s="60"/>
      <c r="N337" s="60"/>
      <c r="O337" s="60"/>
      <c r="P337" s="60"/>
    </row>
    <row r="338" spans="1:16" s="2" customFormat="1" ht="11.5" customHeight="1" x14ac:dyDescent="0.3">
      <c r="A338" s="615"/>
      <c r="B338" s="616"/>
      <c r="C338" s="10" t="s">
        <v>235</v>
      </c>
      <c r="D338" s="93">
        <f>107*E338/91</f>
        <v>48.208791208791212</v>
      </c>
      <c r="E338" s="613">
        <v>41</v>
      </c>
      <c r="F338" s="93">
        <f>107*G338/91</f>
        <v>64.670329670329664</v>
      </c>
      <c r="G338" s="614">
        <v>55</v>
      </c>
      <c r="H338" s="60"/>
      <c r="I338" s="60"/>
      <c r="J338" s="60"/>
      <c r="K338" s="60"/>
      <c r="L338" s="60"/>
      <c r="M338" s="60"/>
      <c r="N338" s="60"/>
      <c r="O338" s="60"/>
      <c r="P338" s="60"/>
    </row>
    <row r="339" spans="1:16" s="2" customFormat="1" ht="11.5" customHeight="1" x14ac:dyDescent="0.3">
      <c r="A339" s="615"/>
      <c r="B339" s="616"/>
      <c r="C339" s="10" t="s">
        <v>236</v>
      </c>
      <c r="D339" s="93">
        <f>152*E339/91</f>
        <v>68.483516483516482</v>
      </c>
      <c r="E339" s="613">
        <v>41</v>
      </c>
      <c r="F339" s="93">
        <f>152*G339/91</f>
        <v>91.868131868131869</v>
      </c>
      <c r="G339" s="614">
        <v>55</v>
      </c>
      <c r="H339" s="60"/>
      <c r="I339" s="60"/>
      <c r="J339" s="60"/>
      <c r="K339" s="60"/>
      <c r="L339" s="60"/>
      <c r="M339" s="60"/>
      <c r="N339" s="60"/>
      <c r="O339" s="60"/>
      <c r="P339" s="60"/>
    </row>
    <row r="340" spans="1:16" s="2" customFormat="1" ht="11.5" customHeight="1" x14ac:dyDescent="0.3">
      <c r="A340" s="617" t="s">
        <v>342</v>
      </c>
      <c r="B340" s="19" t="s">
        <v>506</v>
      </c>
      <c r="C340" s="10" t="s">
        <v>62</v>
      </c>
      <c r="D340" s="618">
        <v>19</v>
      </c>
      <c r="E340" s="618">
        <v>12</v>
      </c>
      <c r="F340" s="618">
        <v>25</v>
      </c>
      <c r="G340" s="619">
        <v>16</v>
      </c>
      <c r="H340" s="60"/>
      <c r="I340" s="60"/>
      <c r="J340" s="60"/>
      <c r="K340" s="60"/>
      <c r="L340" s="60"/>
      <c r="M340" s="60"/>
      <c r="N340" s="60"/>
      <c r="O340" s="60"/>
      <c r="P340" s="60"/>
    </row>
    <row r="341" spans="1:16" s="2" customFormat="1" ht="11.5" customHeight="1" x14ac:dyDescent="0.3">
      <c r="A341" s="615"/>
      <c r="B341" s="616"/>
      <c r="C341" s="10" t="s">
        <v>103</v>
      </c>
      <c r="D341" s="618">
        <v>2</v>
      </c>
      <c r="E341" s="618">
        <v>2</v>
      </c>
      <c r="F341" s="618">
        <v>3</v>
      </c>
      <c r="G341" s="619">
        <v>3</v>
      </c>
      <c r="H341" s="60"/>
      <c r="I341" s="60"/>
      <c r="J341" s="60"/>
      <c r="K341" s="60"/>
      <c r="L341" s="60"/>
      <c r="M341" s="60"/>
      <c r="N341" s="60"/>
      <c r="O341" s="60"/>
      <c r="P341" s="60"/>
    </row>
    <row r="342" spans="1:16" s="2" customFormat="1" ht="11.5" customHeight="1" x14ac:dyDescent="0.3">
      <c r="A342" s="615"/>
      <c r="B342" s="616"/>
      <c r="C342" s="10" t="s">
        <v>60</v>
      </c>
      <c r="D342" s="618">
        <v>7</v>
      </c>
      <c r="E342" s="618">
        <v>4</v>
      </c>
      <c r="F342" s="618">
        <v>9</v>
      </c>
      <c r="G342" s="619">
        <v>6</v>
      </c>
      <c r="H342" s="60"/>
      <c r="I342" s="60"/>
      <c r="J342" s="60"/>
      <c r="K342" s="60"/>
      <c r="L342" s="60"/>
      <c r="M342" s="60"/>
      <c r="N342" s="60"/>
      <c r="O342" s="60"/>
      <c r="P342" s="60"/>
    </row>
    <row r="343" spans="1:16" s="2" customFormat="1" ht="11.5" customHeight="1" x14ac:dyDescent="0.3">
      <c r="A343" s="617"/>
      <c r="B343" s="616"/>
      <c r="C343" s="19" t="s">
        <v>52</v>
      </c>
      <c r="D343" s="618">
        <v>5</v>
      </c>
      <c r="E343" s="618">
        <v>5</v>
      </c>
      <c r="F343" s="618">
        <v>6</v>
      </c>
      <c r="G343" s="619">
        <v>6</v>
      </c>
      <c r="H343" s="60"/>
      <c r="I343" s="60"/>
      <c r="J343" s="60"/>
      <c r="K343" s="60"/>
      <c r="L343" s="60"/>
      <c r="M343" s="60"/>
      <c r="N343" s="60"/>
      <c r="O343" s="60"/>
      <c r="P343" s="60"/>
    </row>
    <row r="344" spans="1:16" s="2" customFormat="1" ht="11.5" customHeight="1" x14ac:dyDescent="0.3">
      <c r="A344" s="617"/>
      <c r="B344" s="616"/>
      <c r="C344" s="19" t="s">
        <v>121</v>
      </c>
      <c r="D344" s="618">
        <v>7</v>
      </c>
      <c r="E344" s="618">
        <v>7</v>
      </c>
      <c r="F344" s="618">
        <v>10</v>
      </c>
      <c r="G344" s="619">
        <v>10</v>
      </c>
      <c r="H344" s="60"/>
      <c r="I344" s="60"/>
      <c r="J344" s="60"/>
      <c r="K344" s="60"/>
      <c r="L344" s="60"/>
      <c r="M344" s="60"/>
      <c r="N344" s="60"/>
      <c r="O344" s="60"/>
      <c r="P344" s="60"/>
    </row>
    <row r="345" spans="1:16" s="2" customFormat="1" ht="11.5" customHeight="1" x14ac:dyDescent="0.3">
      <c r="A345" s="617"/>
      <c r="B345" s="616"/>
      <c r="C345" s="19" t="s">
        <v>185</v>
      </c>
      <c r="D345" s="618">
        <v>6</v>
      </c>
      <c r="E345" s="618">
        <v>6</v>
      </c>
      <c r="F345" s="618">
        <v>8</v>
      </c>
      <c r="G345" s="619">
        <v>8</v>
      </c>
      <c r="H345" s="60"/>
      <c r="I345" s="60"/>
      <c r="J345" s="60"/>
      <c r="K345" s="60"/>
      <c r="L345" s="60"/>
      <c r="M345" s="60"/>
      <c r="N345" s="60"/>
      <c r="O345" s="60"/>
      <c r="P345" s="60"/>
    </row>
    <row r="346" spans="1:16" s="2" customFormat="1" ht="11.5" customHeight="1" x14ac:dyDescent="0.3">
      <c r="A346" s="617"/>
      <c r="B346" s="616"/>
      <c r="C346" s="19" t="s">
        <v>194</v>
      </c>
      <c r="D346" s="618">
        <v>5</v>
      </c>
      <c r="E346" s="618">
        <v>5</v>
      </c>
      <c r="F346" s="618">
        <v>5</v>
      </c>
      <c r="G346" s="619">
        <v>5</v>
      </c>
      <c r="H346" s="60"/>
      <c r="I346" s="60"/>
      <c r="J346" s="60"/>
      <c r="K346" s="60"/>
      <c r="L346" s="60"/>
      <c r="M346" s="60"/>
      <c r="N346" s="60"/>
      <c r="O346" s="60"/>
      <c r="P346" s="60"/>
    </row>
    <row r="347" spans="1:16" s="2" customFormat="1" ht="11.5" customHeight="1" x14ac:dyDescent="0.3">
      <c r="A347" s="92">
        <v>321</v>
      </c>
      <c r="B347" s="10" t="s">
        <v>98</v>
      </c>
      <c r="C347" s="10" t="s">
        <v>163</v>
      </c>
      <c r="D347" s="93">
        <f>E347*1.33</f>
        <v>125.0865</v>
      </c>
      <c r="E347" s="93">
        <f>855*110/1000</f>
        <v>94.05</v>
      </c>
      <c r="F347" s="662">
        <f>G347*1.33</f>
        <v>147.82950000000002</v>
      </c>
      <c r="G347" s="663">
        <f>855*130/1000</f>
        <v>111.15</v>
      </c>
      <c r="H347" s="60"/>
      <c r="I347" s="60"/>
      <c r="J347" s="60"/>
      <c r="K347" s="60"/>
      <c r="L347" s="60"/>
      <c r="M347" s="60"/>
      <c r="N347" s="60"/>
      <c r="O347" s="60"/>
      <c r="P347" s="60"/>
    </row>
    <row r="348" spans="1:16" s="2" customFormat="1" ht="11.5" customHeight="1" x14ac:dyDescent="0.3">
      <c r="A348" s="92"/>
      <c r="B348" s="10"/>
      <c r="C348" s="10" t="s">
        <v>164</v>
      </c>
      <c r="D348" s="93">
        <f>E348*1.43</f>
        <v>134.4915</v>
      </c>
      <c r="E348" s="93">
        <f>855*110/1000</f>
        <v>94.05</v>
      </c>
      <c r="F348" s="662">
        <f>G348*1.43</f>
        <v>158.94450000000001</v>
      </c>
      <c r="G348" s="663">
        <f>855*130/1000</f>
        <v>111.15</v>
      </c>
      <c r="H348" s="60"/>
      <c r="I348" s="60"/>
      <c r="J348" s="60"/>
      <c r="K348" s="60"/>
      <c r="L348" s="60"/>
      <c r="M348" s="60"/>
      <c r="N348" s="60"/>
      <c r="O348" s="60"/>
      <c r="P348" s="60"/>
    </row>
    <row r="349" spans="1:16" s="2" customFormat="1" ht="11.5" customHeight="1" x14ac:dyDescent="0.3">
      <c r="A349" s="92"/>
      <c r="B349" s="10"/>
      <c r="C349" s="10" t="s">
        <v>165</v>
      </c>
      <c r="D349" s="93">
        <f>E349*1.54</f>
        <v>144.83699999999999</v>
      </c>
      <c r="E349" s="93">
        <f>855*110/1000</f>
        <v>94.05</v>
      </c>
      <c r="F349" s="662">
        <f>G349*1.54</f>
        <v>171.17100000000002</v>
      </c>
      <c r="G349" s="663">
        <f>855*130/1000</f>
        <v>111.15</v>
      </c>
      <c r="H349" s="60"/>
      <c r="I349" s="60"/>
      <c r="J349" s="60"/>
      <c r="K349" s="60"/>
      <c r="L349" s="60"/>
      <c r="M349" s="60"/>
      <c r="N349" s="60"/>
      <c r="O349" s="60"/>
      <c r="P349" s="60"/>
    </row>
    <row r="350" spans="1:16" s="2" customFormat="1" ht="11.5" customHeight="1" x14ac:dyDescent="0.3">
      <c r="A350" s="92"/>
      <c r="B350" s="10"/>
      <c r="C350" s="10" t="s">
        <v>166</v>
      </c>
      <c r="D350" s="93">
        <f>E350*1.67</f>
        <v>157.06349999999998</v>
      </c>
      <c r="E350" s="93">
        <f>855*110/1000</f>
        <v>94.05</v>
      </c>
      <c r="F350" s="662">
        <f>G350*1.67</f>
        <v>185.62049999999999</v>
      </c>
      <c r="G350" s="663">
        <f>855*130/1000</f>
        <v>111.15</v>
      </c>
      <c r="H350" s="60"/>
      <c r="I350" s="60"/>
      <c r="J350" s="60"/>
      <c r="K350" s="60"/>
      <c r="L350" s="60"/>
      <c r="M350" s="60"/>
      <c r="N350" s="60"/>
      <c r="O350" s="60"/>
      <c r="P350" s="60"/>
    </row>
    <row r="351" spans="1:16" s="2" customFormat="1" ht="11.5" customHeight="1" x14ac:dyDescent="0.3">
      <c r="A351" s="92" t="s">
        <v>133</v>
      </c>
      <c r="B351" s="10" t="s">
        <v>591</v>
      </c>
      <c r="C351" s="10" t="s">
        <v>114</v>
      </c>
      <c r="D351" s="93">
        <f>158*110/1000</f>
        <v>17.38</v>
      </c>
      <c r="E351" s="93">
        <f>150*110/1000</f>
        <v>16.5</v>
      </c>
      <c r="F351" s="662">
        <f>158*130/1000</f>
        <v>20.54</v>
      </c>
      <c r="G351" s="663">
        <f>150*130/1000</f>
        <v>19.5</v>
      </c>
      <c r="H351" s="60"/>
      <c r="I351" s="60"/>
      <c r="J351" s="60"/>
      <c r="K351" s="60"/>
      <c r="L351" s="60"/>
      <c r="M351" s="60"/>
      <c r="N351" s="60"/>
      <c r="O351" s="60"/>
      <c r="P351" s="60"/>
    </row>
    <row r="352" spans="1:16" s="2" customFormat="1" ht="11.5" customHeight="1" x14ac:dyDescent="0.3">
      <c r="A352" s="92"/>
      <c r="B352" s="10"/>
      <c r="C352" s="10" t="s">
        <v>122</v>
      </c>
      <c r="D352" s="93">
        <f>D351*0.12</f>
        <v>2.0855999999999999</v>
      </c>
      <c r="E352" s="93">
        <f>E351*0.12</f>
        <v>1.98</v>
      </c>
      <c r="F352" s="662">
        <f>F351*0.12</f>
        <v>2.4647999999999999</v>
      </c>
      <c r="G352" s="663">
        <f>G351*0.12</f>
        <v>2.34</v>
      </c>
      <c r="H352" s="60"/>
      <c r="I352" s="60"/>
      <c r="J352" s="60"/>
      <c r="K352" s="60"/>
      <c r="L352" s="60"/>
      <c r="M352" s="60"/>
      <c r="N352" s="60"/>
      <c r="O352" s="60"/>
      <c r="P352" s="60"/>
    </row>
    <row r="353" spans="1:16" s="2" customFormat="1" ht="11.5" customHeight="1" x14ac:dyDescent="0.3">
      <c r="A353" s="92"/>
      <c r="B353" s="10"/>
      <c r="C353" s="10" t="s">
        <v>57</v>
      </c>
      <c r="D353" s="93">
        <f>35*110/1000</f>
        <v>3.85</v>
      </c>
      <c r="E353" s="93">
        <f>35*110/1000</f>
        <v>3.85</v>
      </c>
      <c r="F353" s="662">
        <f>35*130/1000</f>
        <v>4.55</v>
      </c>
      <c r="G353" s="663">
        <f>35*130/1000</f>
        <v>4.55</v>
      </c>
      <c r="H353" s="60"/>
      <c r="I353" s="60"/>
      <c r="J353" s="60"/>
      <c r="K353" s="60"/>
      <c r="L353" s="60"/>
      <c r="M353" s="60"/>
      <c r="N353" s="60"/>
      <c r="O353" s="60"/>
      <c r="P353" s="60"/>
    </row>
    <row r="354" spans="1:16" s="2" customFormat="1" ht="11.5" customHeight="1" x14ac:dyDescent="0.3">
      <c r="A354" s="92"/>
      <c r="B354" s="10"/>
      <c r="C354" s="10" t="s">
        <v>56</v>
      </c>
      <c r="D354" s="93">
        <f>0.001*150</f>
        <v>0.15</v>
      </c>
      <c r="E354" s="93">
        <f>0.001*150</f>
        <v>0.15</v>
      </c>
      <c r="F354" s="662">
        <f>0.001*150</f>
        <v>0.15</v>
      </c>
      <c r="G354" s="663">
        <f>0.001*150</f>
        <v>0.15</v>
      </c>
      <c r="H354" s="60"/>
      <c r="I354" s="60"/>
      <c r="J354" s="60"/>
      <c r="K354" s="60"/>
      <c r="L354" s="60"/>
      <c r="M354" s="60"/>
      <c r="N354" s="60"/>
      <c r="O354" s="60"/>
      <c r="P354" s="60"/>
    </row>
    <row r="355" spans="1:16" s="2" customFormat="1" ht="11.5" customHeight="1" x14ac:dyDescent="0.3">
      <c r="A355" s="11">
        <v>398</v>
      </c>
      <c r="B355" s="10" t="s">
        <v>147</v>
      </c>
      <c r="C355" s="10" t="s">
        <v>298</v>
      </c>
      <c r="D355" s="93">
        <v>15</v>
      </c>
      <c r="E355" s="93">
        <v>15</v>
      </c>
      <c r="F355" s="93">
        <v>18</v>
      </c>
      <c r="G355" s="94">
        <v>18</v>
      </c>
      <c r="H355" s="60"/>
      <c r="I355" s="60"/>
      <c r="J355" s="60"/>
      <c r="K355" s="60"/>
      <c r="L355" s="60"/>
      <c r="M355" s="60"/>
      <c r="N355" s="60"/>
      <c r="O355" s="60"/>
      <c r="P355" s="60"/>
    </row>
    <row r="356" spans="1:16" s="2" customFormat="1" ht="11.5" customHeight="1" x14ac:dyDescent="0.3">
      <c r="A356" s="92"/>
      <c r="B356" s="10" t="s">
        <v>59</v>
      </c>
      <c r="C356" s="10" t="s">
        <v>55</v>
      </c>
      <c r="D356" s="93">
        <v>7</v>
      </c>
      <c r="E356" s="93">
        <v>7</v>
      </c>
      <c r="F356" s="93">
        <v>10</v>
      </c>
      <c r="G356" s="94">
        <v>10</v>
      </c>
      <c r="H356" s="60"/>
      <c r="I356" s="60"/>
      <c r="J356" s="60"/>
      <c r="K356" s="60"/>
      <c r="L356" s="60"/>
      <c r="M356" s="60"/>
      <c r="N356" s="60"/>
      <c r="O356" s="60"/>
      <c r="P356" s="60"/>
    </row>
    <row r="357" spans="1:16" s="2" customFormat="1" ht="11.5" customHeight="1" x14ac:dyDescent="0.3">
      <c r="A357" s="92"/>
      <c r="B357" s="10" t="s">
        <v>72</v>
      </c>
      <c r="C357" s="10" t="s">
        <v>48</v>
      </c>
      <c r="D357" s="93">
        <v>20</v>
      </c>
      <c r="E357" s="93">
        <v>20</v>
      </c>
      <c r="F357" s="93">
        <v>25</v>
      </c>
      <c r="G357" s="94">
        <v>25</v>
      </c>
      <c r="H357" s="60"/>
      <c r="I357" s="60"/>
      <c r="J357" s="60"/>
      <c r="K357" s="60"/>
      <c r="L357" s="60"/>
      <c r="M357" s="60"/>
      <c r="N357" s="60"/>
      <c r="O357" s="60"/>
      <c r="P357" s="60"/>
    </row>
    <row r="358" spans="1:16" s="2" customFormat="1" ht="11.5" customHeight="1" thickBot="1" x14ac:dyDescent="0.35">
      <c r="A358" s="28"/>
      <c r="B358" s="12" t="s">
        <v>17</v>
      </c>
      <c r="C358" s="12" t="s">
        <v>139</v>
      </c>
      <c r="D358" s="63">
        <v>17</v>
      </c>
      <c r="E358" s="63">
        <v>17</v>
      </c>
      <c r="F358" s="63">
        <v>21</v>
      </c>
      <c r="G358" s="184">
        <v>21</v>
      </c>
      <c r="H358" s="60"/>
      <c r="I358" s="60"/>
      <c r="J358" s="60"/>
      <c r="K358" s="60"/>
      <c r="L358" s="60"/>
      <c r="M358" s="60"/>
      <c r="N358" s="60"/>
      <c r="O358" s="60"/>
      <c r="P358" s="60"/>
    </row>
    <row r="359" spans="1:16" s="2" customFormat="1" ht="11.5" customHeight="1" x14ac:dyDescent="0.3">
      <c r="A359" s="27">
        <v>302</v>
      </c>
      <c r="B359" s="16" t="s">
        <v>222</v>
      </c>
      <c r="C359" s="16" t="s">
        <v>62</v>
      </c>
      <c r="D359" s="568">
        <v>40</v>
      </c>
      <c r="E359" s="568">
        <v>32</v>
      </c>
      <c r="F359" s="568">
        <v>50</v>
      </c>
      <c r="G359" s="569">
        <v>40</v>
      </c>
      <c r="H359" s="60"/>
      <c r="I359" s="60"/>
      <c r="J359" s="60"/>
      <c r="K359" s="60"/>
      <c r="L359" s="60"/>
      <c r="M359" s="60"/>
      <c r="N359" s="60"/>
      <c r="O359" s="60"/>
      <c r="P359" s="60"/>
    </row>
    <row r="360" spans="1:16" s="2" customFormat="1" ht="11.5" customHeight="1" x14ac:dyDescent="0.3">
      <c r="A360" s="92"/>
      <c r="B360" s="10"/>
      <c r="C360" s="10" t="s">
        <v>163</v>
      </c>
      <c r="D360" s="93">
        <f>E360*1.33</f>
        <v>102.41000000000001</v>
      </c>
      <c r="E360" s="93">
        <v>77</v>
      </c>
      <c r="F360" s="93">
        <f>G360*1.33</f>
        <v>129.01000000000002</v>
      </c>
      <c r="G360" s="94">
        <v>97</v>
      </c>
      <c r="H360" s="60"/>
      <c r="I360" s="60"/>
      <c r="J360" s="60"/>
      <c r="K360" s="60"/>
      <c r="L360" s="60"/>
      <c r="M360" s="60"/>
      <c r="N360" s="60"/>
      <c r="O360" s="60"/>
      <c r="P360" s="60"/>
    </row>
    <row r="361" spans="1:16" s="2" customFormat="1" ht="11.5" customHeight="1" x14ac:dyDescent="0.3">
      <c r="A361" s="92"/>
      <c r="B361" s="10" t="s">
        <v>252</v>
      </c>
      <c r="C361" s="10" t="s">
        <v>164</v>
      </c>
      <c r="D361" s="93">
        <f>E361*1.43</f>
        <v>110.11</v>
      </c>
      <c r="E361" s="93">
        <v>77</v>
      </c>
      <c r="F361" s="93">
        <f>G361*1.43</f>
        <v>138.71</v>
      </c>
      <c r="G361" s="94">
        <v>97</v>
      </c>
      <c r="H361" s="60"/>
      <c r="I361" s="60"/>
      <c r="J361" s="60"/>
      <c r="K361" s="60"/>
      <c r="L361" s="60"/>
      <c r="M361" s="60"/>
      <c r="N361" s="60"/>
      <c r="O361" s="60"/>
      <c r="P361" s="60"/>
    </row>
    <row r="362" spans="1:16" s="2" customFormat="1" ht="11.5" customHeight="1" x14ac:dyDescent="0.3">
      <c r="A362" s="92"/>
      <c r="B362" s="10"/>
      <c r="C362" s="10" t="s">
        <v>165</v>
      </c>
      <c r="D362" s="93">
        <f>E362*1.54</f>
        <v>118.58</v>
      </c>
      <c r="E362" s="93">
        <v>77</v>
      </c>
      <c r="F362" s="93">
        <f>G362*1.54</f>
        <v>149.38</v>
      </c>
      <c r="G362" s="94">
        <v>97</v>
      </c>
      <c r="H362" s="60"/>
      <c r="I362" s="60"/>
      <c r="J362" s="60"/>
      <c r="K362" s="60"/>
      <c r="L362" s="60"/>
      <c r="M362" s="60"/>
      <c r="N362" s="60"/>
      <c r="O362" s="60"/>
      <c r="P362" s="60"/>
    </row>
    <row r="363" spans="1:16" s="2" customFormat="1" ht="11.5" customHeight="1" x14ac:dyDescent="0.3">
      <c r="A363" s="92"/>
      <c r="B363" s="10"/>
      <c r="C363" s="10" t="s">
        <v>166</v>
      </c>
      <c r="D363" s="93">
        <f>E363*1.67</f>
        <v>128.59</v>
      </c>
      <c r="E363" s="93">
        <v>77</v>
      </c>
      <c r="F363" s="93">
        <f>G363*1.67</f>
        <v>161.98999999999998</v>
      </c>
      <c r="G363" s="94">
        <v>97</v>
      </c>
      <c r="H363" s="60"/>
      <c r="I363" s="60"/>
      <c r="J363" s="60"/>
      <c r="K363" s="60"/>
      <c r="L363" s="60"/>
      <c r="M363" s="60"/>
      <c r="N363" s="60"/>
      <c r="O363" s="60"/>
      <c r="P363" s="60"/>
    </row>
    <row r="364" spans="1:16" s="2" customFormat="1" ht="11.5" customHeight="1" x14ac:dyDescent="0.3">
      <c r="A364" s="92" t="s">
        <v>4</v>
      </c>
      <c r="B364" s="10"/>
      <c r="C364" s="10" t="s">
        <v>201</v>
      </c>
      <c r="D364" s="93">
        <v>89</v>
      </c>
      <c r="E364" s="93">
        <v>79</v>
      </c>
      <c r="F364" s="93">
        <v>118</v>
      </c>
      <c r="G364" s="94">
        <v>105</v>
      </c>
      <c r="H364" s="60"/>
      <c r="I364" s="60"/>
      <c r="J364" s="60"/>
      <c r="K364" s="60"/>
      <c r="L364" s="60"/>
      <c r="M364" s="60"/>
      <c r="N364" s="60"/>
      <c r="O364" s="60"/>
      <c r="P364" s="60"/>
    </row>
    <row r="365" spans="1:16" s="2" customFormat="1" ht="11.5" customHeight="1" x14ac:dyDescent="0.3">
      <c r="A365" s="92"/>
      <c r="B365" s="10"/>
      <c r="C365" s="10" t="s">
        <v>223</v>
      </c>
      <c r="D365" s="93">
        <v>42</v>
      </c>
      <c r="E365" s="93">
        <v>41</v>
      </c>
      <c r="F365" s="93">
        <v>57</v>
      </c>
      <c r="G365" s="94">
        <v>56</v>
      </c>
      <c r="H365" s="60"/>
      <c r="I365" s="60"/>
      <c r="J365" s="60"/>
      <c r="K365" s="60"/>
      <c r="L365" s="60"/>
      <c r="M365" s="60"/>
      <c r="N365" s="60"/>
      <c r="O365" s="60"/>
      <c r="P365" s="60"/>
    </row>
    <row r="366" spans="1:16" s="2" customFormat="1" ht="11.5" customHeight="1" x14ac:dyDescent="0.3">
      <c r="A366" s="92"/>
      <c r="B366" s="10"/>
      <c r="C366" s="10" t="s">
        <v>60</v>
      </c>
      <c r="D366" s="93">
        <v>22</v>
      </c>
      <c r="E366" s="93">
        <v>18</v>
      </c>
      <c r="F366" s="93">
        <v>28</v>
      </c>
      <c r="G366" s="94">
        <v>23</v>
      </c>
      <c r="H366" s="60"/>
      <c r="I366" s="60"/>
      <c r="J366" s="60"/>
      <c r="K366" s="60"/>
      <c r="L366" s="60"/>
      <c r="M366" s="60"/>
      <c r="N366" s="60"/>
      <c r="O366" s="60"/>
      <c r="P366" s="60"/>
    </row>
    <row r="367" spans="1:16" s="2" customFormat="1" ht="11.5" customHeight="1" x14ac:dyDescent="0.3">
      <c r="A367" s="92"/>
      <c r="B367" s="10"/>
      <c r="C367" s="10" t="s">
        <v>141</v>
      </c>
      <c r="D367" s="93">
        <v>8</v>
      </c>
      <c r="E367" s="93">
        <v>5</v>
      </c>
      <c r="F367" s="93">
        <v>10</v>
      </c>
      <c r="G367" s="94">
        <v>6</v>
      </c>
      <c r="H367" s="60"/>
      <c r="I367" s="60"/>
      <c r="J367" s="60"/>
      <c r="K367" s="60"/>
      <c r="L367" s="60"/>
      <c r="M367" s="60"/>
      <c r="N367" s="60"/>
      <c r="O367" s="60"/>
      <c r="P367" s="60"/>
    </row>
    <row r="368" spans="1:16" s="2" customFormat="1" ht="11.5" customHeight="1" x14ac:dyDescent="0.3">
      <c r="A368" s="92"/>
      <c r="B368" s="10"/>
      <c r="C368" s="10" t="s">
        <v>103</v>
      </c>
      <c r="D368" s="93">
        <v>0.1</v>
      </c>
      <c r="E368" s="93">
        <v>0.1</v>
      </c>
      <c r="F368" s="93">
        <v>0.2</v>
      </c>
      <c r="G368" s="94">
        <v>0.2</v>
      </c>
      <c r="H368" s="60"/>
      <c r="I368" s="60"/>
      <c r="J368" s="60"/>
      <c r="K368" s="60"/>
      <c r="L368" s="60"/>
      <c r="M368" s="60"/>
      <c r="N368" s="60"/>
      <c r="O368" s="60"/>
      <c r="P368" s="60"/>
    </row>
    <row r="369" spans="1:16" s="2" customFormat="1" ht="11.5" customHeight="1" x14ac:dyDescent="0.3">
      <c r="A369" s="11">
        <v>473</v>
      </c>
      <c r="B369" s="10" t="s">
        <v>395</v>
      </c>
      <c r="C369" s="19" t="s">
        <v>109</v>
      </c>
      <c r="D369" s="93">
        <v>35</v>
      </c>
      <c r="E369" s="93">
        <v>35</v>
      </c>
      <c r="F369" s="93">
        <v>35</v>
      </c>
      <c r="G369" s="94">
        <v>35</v>
      </c>
      <c r="H369" s="60"/>
      <c r="I369" s="60"/>
      <c r="J369" s="60"/>
      <c r="K369" s="60"/>
      <c r="L369" s="60"/>
      <c r="M369" s="60"/>
      <c r="N369" s="60"/>
      <c r="O369" s="60"/>
      <c r="P369" s="60"/>
    </row>
    <row r="370" spans="1:16" s="2" customFormat="1" ht="11.5" customHeight="1" x14ac:dyDescent="0.3">
      <c r="A370" s="92"/>
      <c r="B370" s="123">
        <v>50</v>
      </c>
      <c r="C370" s="19" t="s">
        <v>508</v>
      </c>
      <c r="D370" s="93">
        <v>7.1</v>
      </c>
      <c r="E370" s="93">
        <v>7.1</v>
      </c>
      <c r="F370" s="93">
        <v>7.1</v>
      </c>
      <c r="G370" s="94">
        <v>7.1</v>
      </c>
      <c r="H370" s="60"/>
      <c r="I370" s="60"/>
      <c r="J370" s="60"/>
      <c r="K370" s="60"/>
      <c r="L370" s="60"/>
      <c r="M370" s="60"/>
      <c r="N370" s="60"/>
      <c r="O370" s="60"/>
      <c r="P370" s="60"/>
    </row>
    <row r="371" spans="1:16" s="2" customFormat="1" ht="11.5" customHeight="1" x14ac:dyDescent="0.3">
      <c r="A371" s="92"/>
      <c r="B371" s="123"/>
      <c r="C371" s="19" t="s">
        <v>509</v>
      </c>
      <c r="D371" s="93">
        <f>107*0.25/100</f>
        <v>0.26750000000000002</v>
      </c>
      <c r="E371" s="93">
        <f>107*0.25/100</f>
        <v>0.26750000000000002</v>
      </c>
      <c r="F371" s="93">
        <f>107*0.25/100</f>
        <v>0.26750000000000002</v>
      </c>
      <c r="G371" s="94">
        <f>107*0.25/100</f>
        <v>0.26750000000000002</v>
      </c>
      <c r="H371" s="60"/>
      <c r="I371" s="60"/>
      <c r="J371" s="60"/>
      <c r="K371" s="60"/>
      <c r="L371" s="60"/>
      <c r="M371" s="60"/>
      <c r="N371" s="60"/>
      <c r="O371" s="60"/>
      <c r="P371" s="60"/>
    </row>
    <row r="372" spans="1:16" s="2" customFormat="1" ht="11.5" customHeight="1" x14ac:dyDescent="0.3">
      <c r="A372" s="92"/>
      <c r="B372" s="123"/>
      <c r="C372" s="19" t="s">
        <v>56</v>
      </c>
      <c r="D372" s="93">
        <v>3.6</v>
      </c>
      <c r="E372" s="93">
        <v>3.6</v>
      </c>
      <c r="F372" s="93">
        <v>3.6</v>
      </c>
      <c r="G372" s="94">
        <v>3.6</v>
      </c>
      <c r="H372" s="60"/>
      <c r="I372" s="60"/>
      <c r="J372" s="60"/>
      <c r="K372" s="60"/>
      <c r="L372" s="60"/>
      <c r="M372" s="60"/>
      <c r="N372" s="60"/>
      <c r="O372" s="60"/>
      <c r="P372" s="60"/>
    </row>
    <row r="373" spans="1:16" s="2" customFormat="1" ht="11.5" customHeight="1" x14ac:dyDescent="0.3">
      <c r="A373" s="92"/>
      <c r="B373" s="123"/>
      <c r="C373" s="19" t="s">
        <v>55</v>
      </c>
      <c r="D373" s="93">
        <v>3.57</v>
      </c>
      <c r="E373" s="93">
        <v>3.57</v>
      </c>
      <c r="F373" s="93">
        <v>3.57</v>
      </c>
      <c r="G373" s="94">
        <v>3.57</v>
      </c>
      <c r="H373" s="60"/>
      <c r="I373" s="60"/>
      <c r="J373" s="60"/>
      <c r="K373" s="60"/>
      <c r="L373" s="60"/>
      <c r="M373" s="60"/>
      <c r="N373" s="60"/>
      <c r="O373" s="60"/>
      <c r="P373" s="60"/>
    </row>
    <row r="374" spans="1:16" s="2" customFormat="1" ht="11.5" customHeight="1" x14ac:dyDescent="0.3">
      <c r="A374" s="92" t="s">
        <v>342</v>
      </c>
      <c r="B374" s="123">
        <v>58.5</v>
      </c>
      <c r="C374" s="19" t="s">
        <v>136</v>
      </c>
      <c r="D374" s="93">
        <v>3.21</v>
      </c>
      <c r="E374" s="93">
        <v>3.21</v>
      </c>
      <c r="F374" s="93">
        <v>3.21</v>
      </c>
      <c r="G374" s="94">
        <v>3.21</v>
      </c>
      <c r="H374" s="60"/>
      <c r="I374" s="60"/>
      <c r="J374" s="60"/>
      <c r="K374" s="60"/>
      <c r="L374" s="60"/>
      <c r="M374" s="60"/>
      <c r="N374" s="60"/>
      <c r="O374" s="60"/>
      <c r="P374" s="60"/>
    </row>
    <row r="375" spans="1:16" s="2" customFormat="1" ht="11.5" customHeight="1" x14ac:dyDescent="0.3">
      <c r="A375" s="92"/>
      <c r="B375" s="10"/>
      <c r="C375" s="19" t="s">
        <v>121</v>
      </c>
      <c r="D375" s="93">
        <f>107/100</f>
        <v>1.07</v>
      </c>
      <c r="E375" s="93">
        <f>107/100</f>
        <v>1.07</v>
      </c>
      <c r="F375" s="93">
        <f>107/100</f>
        <v>1.07</v>
      </c>
      <c r="G375" s="94">
        <f>107/100</f>
        <v>1.07</v>
      </c>
      <c r="H375" s="60"/>
      <c r="I375" s="60"/>
      <c r="J375" s="60"/>
      <c r="K375" s="60"/>
      <c r="L375" s="60"/>
      <c r="M375" s="60"/>
      <c r="N375" s="60"/>
      <c r="O375" s="60"/>
      <c r="P375" s="60"/>
    </row>
    <row r="376" spans="1:16" s="2" customFormat="1" ht="11.5" customHeight="1" x14ac:dyDescent="0.3">
      <c r="A376" s="92"/>
      <c r="B376" s="10"/>
      <c r="C376" s="19" t="s">
        <v>242</v>
      </c>
      <c r="D376" s="93">
        <v>1.79</v>
      </c>
      <c r="E376" s="93">
        <v>1.79</v>
      </c>
      <c r="F376" s="93">
        <v>1.79</v>
      </c>
      <c r="G376" s="94">
        <v>1.79</v>
      </c>
      <c r="H376" s="60"/>
      <c r="I376" s="60"/>
      <c r="J376" s="60"/>
      <c r="K376" s="60"/>
      <c r="L376" s="60"/>
      <c r="M376" s="60"/>
      <c r="N376" s="60"/>
      <c r="O376" s="60"/>
      <c r="P376" s="60"/>
    </row>
    <row r="377" spans="1:16" s="2" customFormat="1" ht="11.5" customHeight="1" x14ac:dyDescent="0.3">
      <c r="A377" s="92"/>
      <c r="B377" s="10"/>
      <c r="C377" s="19" t="s">
        <v>54</v>
      </c>
      <c r="D377" s="93">
        <v>14.3</v>
      </c>
      <c r="E377" s="93">
        <v>14.3</v>
      </c>
      <c r="F377" s="93">
        <v>14.3</v>
      </c>
      <c r="G377" s="94">
        <v>14.3</v>
      </c>
      <c r="H377" s="60"/>
      <c r="I377" s="60"/>
      <c r="J377" s="60"/>
      <c r="K377" s="60"/>
      <c r="L377" s="60"/>
      <c r="M377" s="60"/>
      <c r="N377" s="60"/>
      <c r="O377" s="60"/>
      <c r="P377" s="60"/>
    </row>
    <row r="378" spans="1:16" ht="11.5" customHeight="1" x14ac:dyDescent="0.3">
      <c r="A378" s="11">
        <v>398</v>
      </c>
      <c r="B378" s="10" t="s">
        <v>633</v>
      </c>
      <c r="C378" s="10" t="s">
        <v>242</v>
      </c>
      <c r="D378" s="93">
        <v>10</v>
      </c>
      <c r="E378" s="93">
        <v>10</v>
      </c>
      <c r="F378" s="93">
        <v>18</v>
      </c>
      <c r="G378" s="94">
        <v>18</v>
      </c>
    </row>
    <row r="379" spans="1:16" ht="10.9" customHeight="1" x14ac:dyDescent="0.3">
      <c r="A379" s="524"/>
      <c r="B379" s="125"/>
      <c r="C379" s="125" t="s">
        <v>55</v>
      </c>
      <c r="D379" s="589">
        <v>10</v>
      </c>
      <c r="E379" s="589">
        <v>10</v>
      </c>
      <c r="F379" s="589">
        <v>15</v>
      </c>
      <c r="G379" s="590">
        <v>15</v>
      </c>
    </row>
    <row r="380" spans="1:16" ht="64.900000000000006" customHeight="1" thickBot="1" x14ac:dyDescent="0.35">
      <c r="A380" s="28"/>
      <c r="B380" s="12" t="s">
        <v>107</v>
      </c>
      <c r="C380" s="12" t="s">
        <v>139</v>
      </c>
      <c r="D380" s="63">
        <v>17</v>
      </c>
      <c r="E380" s="63">
        <v>17</v>
      </c>
      <c r="F380" s="63">
        <v>21</v>
      </c>
      <c r="G380" s="184">
        <v>21</v>
      </c>
    </row>
    <row r="381" spans="1:16" ht="13" customHeight="1" x14ac:dyDescent="0.3">
      <c r="A381" s="165"/>
      <c r="B381" s="886" t="s">
        <v>592</v>
      </c>
      <c r="C381" s="166"/>
      <c r="D381" s="883" t="s">
        <v>69</v>
      </c>
      <c r="E381" s="883"/>
      <c r="F381" s="883" t="s">
        <v>70</v>
      </c>
      <c r="G381" s="884"/>
    </row>
    <row r="382" spans="1:16" ht="13" customHeight="1" thickBot="1" x14ac:dyDescent="0.35">
      <c r="A382" s="167" t="s">
        <v>131</v>
      </c>
      <c r="B382" s="887"/>
      <c r="C382" s="168"/>
      <c r="D382" s="169" t="s">
        <v>91</v>
      </c>
      <c r="E382" s="170" t="s">
        <v>46</v>
      </c>
      <c r="F382" s="169" t="s">
        <v>91</v>
      </c>
      <c r="G382" s="188" t="s">
        <v>46</v>
      </c>
    </row>
    <row r="383" spans="1:16" ht="13" customHeight="1" x14ac:dyDescent="0.25">
      <c r="A383" s="564" t="s">
        <v>396</v>
      </c>
      <c r="B383" s="565" t="s">
        <v>397</v>
      </c>
      <c r="C383" s="603" t="s">
        <v>51</v>
      </c>
      <c r="D383" s="688">
        <f>510*130/1000</f>
        <v>66.3</v>
      </c>
      <c r="E383" s="688">
        <f>510*130/1000</f>
        <v>66.3</v>
      </c>
      <c r="F383" s="688">
        <f>510*150/1000</f>
        <v>76.5</v>
      </c>
      <c r="G383" s="689">
        <f>510*150/1000</f>
        <v>76.5</v>
      </c>
    </row>
    <row r="384" spans="1:16" ht="13" customHeight="1" x14ac:dyDescent="0.25">
      <c r="A384" s="620"/>
      <c r="B384" s="692" t="s">
        <v>579</v>
      </c>
      <c r="C384" s="606" t="s">
        <v>54</v>
      </c>
      <c r="D384" s="690">
        <f>350*130/1000</f>
        <v>45.5</v>
      </c>
      <c r="E384" s="690">
        <f>350*130/1000</f>
        <v>45.5</v>
      </c>
      <c r="F384" s="690">
        <f>350*150/1000</f>
        <v>52.5</v>
      </c>
      <c r="G384" s="691">
        <f>350*150/1000</f>
        <v>52.5</v>
      </c>
    </row>
    <row r="385" spans="1:7" ht="13" customHeight="1" x14ac:dyDescent="0.25">
      <c r="A385" s="620"/>
      <c r="B385" s="153"/>
      <c r="C385" s="606" t="s">
        <v>108</v>
      </c>
      <c r="D385" s="690">
        <f>75*130/1000</f>
        <v>9.75</v>
      </c>
      <c r="E385" s="690">
        <f>75*130/1000</f>
        <v>9.75</v>
      </c>
      <c r="F385" s="690">
        <f>75*150/1000</f>
        <v>11.25</v>
      </c>
      <c r="G385" s="691">
        <f>75*150/1000</f>
        <v>11.25</v>
      </c>
    </row>
    <row r="386" spans="1:7" ht="13" customHeight="1" x14ac:dyDescent="0.25">
      <c r="A386" s="620"/>
      <c r="B386" s="153"/>
      <c r="C386" s="606" t="s">
        <v>510</v>
      </c>
      <c r="D386" s="690">
        <f>55*130/1000</f>
        <v>7.15</v>
      </c>
      <c r="E386" s="690">
        <f>55*130/1000</f>
        <v>7.15</v>
      </c>
      <c r="F386" s="690">
        <f>55*150/1000</f>
        <v>8.25</v>
      </c>
      <c r="G386" s="691">
        <f>55*150/1000</f>
        <v>8.25</v>
      </c>
    </row>
    <row r="387" spans="1:7" ht="13" customHeight="1" x14ac:dyDescent="0.25">
      <c r="A387" s="620"/>
      <c r="B387" s="153"/>
      <c r="C387" s="606" t="s">
        <v>55</v>
      </c>
      <c r="D387" s="690">
        <f>25*130/1000</f>
        <v>3.25</v>
      </c>
      <c r="E387" s="690">
        <f>25*130/1000</f>
        <v>3.25</v>
      </c>
      <c r="F387" s="690">
        <f>25*150/1000</f>
        <v>3.75</v>
      </c>
      <c r="G387" s="691">
        <f>25*150/1000</f>
        <v>3.75</v>
      </c>
    </row>
    <row r="388" spans="1:7" ht="13" customHeight="1" x14ac:dyDescent="0.25">
      <c r="A388" s="620"/>
      <c r="B388" s="153"/>
      <c r="C388" s="606" t="s">
        <v>136</v>
      </c>
      <c r="D388" s="690">
        <v>5</v>
      </c>
      <c r="E388" s="690">
        <v>5</v>
      </c>
      <c r="F388" s="690">
        <v>5</v>
      </c>
      <c r="G388" s="691">
        <v>5</v>
      </c>
    </row>
    <row r="389" spans="1:7" ht="13" customHeight="1" x14ac:dyDescent="0.3">
      <c r="A389" s="11">
        <v>3</v>
      </c>
      <c r="B389" s="10" t="s">
        <v>378</v>
      </c>
      <c r="C389" s="10" t="s">
        <v>284</v>
      </c>
      <c r="D389" s="93">
        <v>24</v>
      </c>
      <c r="E389" s="93">
        <v>24</v>
      </c>
      <c r="F389" s="93">
        <v>30</v>
      </c>
      <c r="G389" s="94">
        <v>30</v>
      </c>
    </row>
    <row r="390" spans="1:7" ht="13" customHeight="1" x14ac:dyDescent="0.3">
      <c r="A390" s="92"/>
      <c r="B390" s="10"/>
      <c r="C390" s="10" t="s">
        <v>0</v>
      </c>
      <c r="D390" s="93">
        <f>101*5/100</f>
        <v>5.05</v>
      </c>
      <c r="E390" s="93">
        <v>5</v>
      </c>
      <c r="F390" s="93">
        <f>101*5/100</f>
        <v>5.05</v>
      </c>
      <c r="G390" s="94">
        <v>5</v>
      </c>
    </row>
    <row r="391" spans="1:7" ht="13" customHeight="1" x14ac:dyDescent="0.3">
      <c r="A391" s="11">
        <v>392</v>
      </c>
      <c r="B391" s="10" t="s">
        <v>390</v>
      </c>
      <c r="C391" s="623" t="s">
        <v>51</v>
      </c>
      <c r="D391" s="662">
        <v>160</v>
      </c>
      <c r="E391" s="662">
        <v>150</v>
      </c>
      <c r="F391" s="662">
        <v>190</v>
      </c>
      <c r="G391" s="663">
        <v>180</v>
      </c>
    </row>
    <row r="392" spans="1:7" ht="13" customHeight="1" x14ac:dyDescent="0.3">
      <c r="A392" s="524"/>
      <c r="B392" s="125" t="s">
        <v>59</v>
      </c>
      <c r="C392" s="624"/>
      <c r="D392" s="589"/>
      <c r="E392" s="589"/>
      <c r="F392" s="589"/>
      <c r="G392" s="590"/>
    </row>
    <row r="393" spans="1:7" ht="13" customHeight="1" thickBot="1" x14ac:dyDescent="0.35">
      <c r="A393" s="28"/>
      <c r="B393" s="12"/>
      <c r="C393" s="124"/>
      <c r="D393" s="63"/>
      <c r="E393" s="63"/>
      <c r="F393" s="63"/>
      <c r="G393" s="184"/>
    </row>
    <row r="394" spans="1:7" ht="13" customHeight="1" thickBot="1" x14ac:dyDescent="0.35">
      <c r="A394" s="527">
        <v>368</v>
      </c>
      <c r="B394" s="48" t="s">
        <v>625</v>
      </c>
      <c r="C394" s="625" t="s">
        <v>47</v>
      </c>
      <c r="D394" s="186">
        <v>200</v>
      </c>
      <c r="E394" s="186">
        <v>200</v>
      </c>
      <c r="F394" s="666">
        <v>180</v>
      </c>
      <c r="G394" s="667">
        <v>180</v>
      </c>
    </row>
    <row r="395" spans="1:7" ht="13" customHeight="1" x14ac:dyDescent="0.3">
      <c r="A395" s="509">
        <v>12</v>
      </c>
      <c r="B395" s="16" t="s">
        <v>401</v>
      </c>
      <c r="C395" s="116" t="s">
        <v>511</v>
      </c>
      <c r="D395" s="694"/>
      <c r="E395" s="694"/>
      <c r="F395" s="694">
        <f>1329*50/1000</f>
        <v>66.45</v>
      </c>
      <c r="G395" s="695">
        <f>1329*50/1000</f>
        <v>66.45</v>
      </c>
    </row>
    <row r="396" spans="1:7" ht="13" customHeight="1" x14ac:dyDescent="0.3">
      <c r="A396" s="11"/>
      <c r="B396" s="10">
        <v>50</v>
      </c>
      <c r="C396" s="19" t="s">
        <v>55</v>
      </c>
      <c r="D396" s="696"/>
      <c r="E396" s="696"/>
      <c r="F396" s="696">
        <f>20*50/1000</f>
        <v>1</v>
      </c>
      <c r="G396" s="697">
        <f>20*50/1000</f>
        <v>1</v>
      </c>
    </row>
    <row r="397" spans="1:7" ht="13" customHeight="1" x14ac:dyDescent="0.3">
      <c r="A397" s="15">
        <v>53</v>
      </c>
      <c r="B397" s="150" t="s">
        <v>257</v>
      </c>
      <c r="C397" s="150" t="s">
        <v>251</v>
      </c>
      <c r="D397" s="693">
        <f>1684*30/1000</f>
        <v>50.52</v>
      </c>
      <c r="E397" s="693">
        <f>1128*30/1000</f>
        <v>33.840000000000003</v>
      </c>
      <c r="F397" s="693"/>
      <c r="G397" s="698"/>
    </row>
    <row r="398" spans="1:7" ht="13" customHeight="1" x14ac:dyDescent="0.3">
      <c r="A398" s="92" t="s">
        <v>133</v>
      </c>
      <c r="B398" s="665" t="s">
        <v>580</v>
      </c>
      <c r="C398" s="10" t="s">
        <v>60</v>
      </c>
      <c r="D398" s="662">
        <f>143*30/1000</f>
        <v>4.29</v>
      </c>
      <c r="E398" s="662">
        <f>120*30/1000</f>
        <v>3.6</v>
      </c>
      <c r="F398" s="662"/>
      <c r="G398" s="663"/>
    </row>
    <row r="399" spans="1:7" ht="13" customHeight="1" x14ac:dyDescent="0.3">
      <c r="A399" s="92"/>
      <c r="B399" s="10"/>
      <c r="C399" s="10" t="s">
        <v>105</v>
      </c>
      <c r="D399" s="662">
        <v>0</v>
      </c>
      <c r="E399" s="662">
        <v>0</v>
      </c>
      <c r="F399" s="662"/>
      <c r="G399" s="663"/>
    </row>
    <row r="400" spans="1:7" ht="13" customHeight="1" x14ac:dyDescent="0.3">
      <c r="A400" s="92"/>
      <c r="B400" s="10"/>
      <c r="C400" s="10" t="s">
        <v>103</v>
      </c>
      <c r="D400" s="662">
        <f>50*30/1000</f>
        <v>1.5</v>
      </c>
      <c r="E400" s="662">
        <f>50*30/1000</f>
        <v>1.5</v>
      </c>
      <c r="F400" s="662">
        <f>60*50/1000</f>
        <v>3</v>
      </c>
      <c r="G400" s="663">
        <f>60*50/1000</f>
        <v>3</v>
      </c>
    </row>
    <row r="401" spans="1:7" ht="13" customHeight="1" x14ac:dyDescent="0.3">
      <c r="A401" s="626">
        <v>74</v>
      </c>
      <c r="B401" s="627" t="s">
        <v>516</v>
      </c>
      <c r="C401" s="627" t="s">
        <v>163</v>
      </c>
      <c r="D401" s="707">
        <f>E401*1.33</f>
        <v>39.900000000000006</v>
      </c>
      <c r="E401" s="708">
        <f>200*150/1000</f>
        <v>30</v>
      </c>
      <c r="F401" s="707">
        <f>G401*1.33</f>
        <v>47.88</v>
      </c>
      <c r="G401" s="708">
        <f>200*180/1000</f>
        <v>36</v>
      </c>
    </row>
    <row r="402" spans="1:7" ht="13" customHeight="1" x14ac:dyDescent="0.3">
      <c r="A402" s="626"/>
      <c r="B402" s="627" t="s">
        <v>594</v>
      </c>
      <c r="C402" s="627" t="s">
        <v>164</v>
      </c>
      <c r="D402" s="707">
        <f>E402*1.43</f>
        <v>42.9</v>
      </c>
      <c r="E402" s="708">
        <f>200*150/1000</f>
        <v>30</v>
      </c>
      <c r="F402" s="707">
        <f>G402*1.43</f>
        <v>51.48</v>
      </c>
      <c r="G402" s="708">
        <f>200*180/1000</f>
        <v>36</v>
      </c>
    </row>
    <row r="403" spans="1:7" ht="13" customHeight="1" x14ac:dyDescent="0.3">
      <c r="A403" s="626"/>
      <c r="B403" s="627"/>
      <c r="C403" s="627" t="s">
        <v>165</v>
      </c>
      <c r="D403" s="707">
        <f>E403*1.54</f>
        <v>46.2</v>
      </c>
      <c r="E403" s="708">
        <f>200*150/1000</f>
        <v>30</v>
      </c>
      <c r="F403" s="707">
        <f>G403*1.54</f>
        <v>55.44</v>
      </c>
      <c r="G403" s="708">
        <f>200*180/1000</f>
        <v>36</v>
      </c>
    </row>
    <row r="404" spans="1:7" ht="13" customHeight="1" x14ac:dyDescent="0.3">
      <c r="A404" s="626"/>
      <c r="B404" s="627"/>
      <c r="C404" s="627" t="s">
        <v>166</v>
      </c>
      <c r="D404" s="707">
        <f>E404*1.67</f>
        <v>50.099999999999994</v>
      </c>
      <c r="E404" s="708">
        <f>200*150/1000</f>
        <v>30</v>
      </c>
      <c r="F404" s="707">
        <f>G404*1.67</f>
        <v>60.12</v>
      </c>
      <c r="G404" s="708">
        <f>200*180/1000</f>
        <v>36</v>
      </c>
    </row>
    <row r="405" spans="1:7" ht="13" customHeight="1" x14ac:dyDescent="0.3">
      <c r="A405" s="626" t="s">
        <v>512</v>
      </c>
      <c r="B405" s="627" t="s">
        <v>513</v>
      </c>
      <c r="C405" s="627" t="s">
        <v>514</v>
      </c>
      <c r="D405" s="709">
        <f>20*150/1000</f>
        <v>3</v>
      </c>
      <c r="E405" s="708">
        <f>20*150/1000</f>
        <v>3</v>
      </c>
      <c r="F405" s="709">
        <f>20*180/1000</f>
        <v>3.6</v>
      </c>
      <c r="G405" s="708">
        <f>20*180/1000</f>
        <v>3.6</v>
      </c>
    </row>
    <row r="406" spans="1:7" ht="13" customHeight="1" x14ac:dyDescent="0.3">
      <c r="A406" s="626">
        <v>80</v>
      </c>
      <c r="B406" s="627"/>
      <c r="C406" s="627" t="s">
        <v>515</v>
      </c>
      <c r="D406" s="709">
        <v>0</v>
      </c>
      <c r="E406" s="708">
        <v>0</v>
      </c>
      <c r="F406" s="709">
        <v>0</v>
      </c>
      <c r="G406" s="708">
        <v>0</v>
      </c>
    </row>
    <row r="407" spans="1:7" ht="13" customHeight="1" x14ac:dyDescent="0.3">
      <c r="A407" s="626"/>
      <c r="B407" s="627" t="s">
        <v>593</v>
      </c>
      <c r="C407" s="627" t="s">
        <v>62</v>
      </c>
      <c r="D407" s="709">
        <f>50*150/1000</f>
        <v>7.5</v>
      </c>
      <c r="E407" s="708">
        <f>40*150/1000</f>
        <v>6</v>
      </c>
      <c r="F407" s="709">
        <f>50*180/1000</f>
        <v>9</v>
      </c>
      <c r="G407" s="708">
        <f>40*180/1000</f>
        <v>7.2</v>
      </c>
    </row>
    <row r="408" spans="1:7" ht="13" customHeight="1" x14ac:dyDescent="0.3">
      <c r="A408" s="626"/>
      <c r="B408" s="627"/>
      <c r="C408" s="627" t="s">
        <v>60</v>
      </c>
      <c r="D408" s="709">
        <f>12*150/1000</f>
        <v>1.8</v>
      </c>
      <c r="E408" s="708">
        <f>10*150/1000</f>
        <v>1.5</v>
      </c>
      <c r="F408" s="709">
        <f>12*180/1000</f>
        <v>2.16</v>
      </c>
      <c r="G408" s="708">
        <f>10*180/1000</f>
        <v>1.8</v>
      </c>
    </row>
    <row r="409" spans="1:7" ht="13" customHeight="1" x14ac:dyDescent="0.3">
      <c r="A409" s="626"/>
      <c r="B409" s="627"/>
      <c r="C409" s="627" t="s">
        <v>132</v>
      </c>
      <c r="D409" s="709">
        <v>0</v>
      </c>
      <c r="E409" s="708">
        <v>0</v>
      </c>
      <c r="F409" s="709">
        <f>67*180/1000</f>
        <v>12.06</v>
      </c>
      <c r="G409" s="708">
        <f>60*180/1000</f>
        <v>10.8</v>
      </c>
    </row>
    <row r="410" spans="1:7" ht="13" customHeight="1" x14ac:dyDescent="0.3">
      <c r="A410" s="626"/>
      <c r="B410" s="627"/>
      <c r="C410" s="627" t="s">
        <v>103</v>
      </c>
      <c r="D410" s="709">
        <f>10*150/1000</f>
        <v>1.5</v>
      </c>
      <c r="E410" s="709">
        <f>10*150/1000</f>
        <v>1.5</v>
      </c>
      <c r="F410" s="709">
        <f>10*180/1000</f>
        <v>1.8</v>
      </c>
      <c r="G410" s="709">
        <f>10*180/1000</f>
        <v>1.8</v>
      </c>
    </row>
    <row r="411" spans="1:7" ht="13" customHeight="1" x14ac:dyDescent="0.25">
      <c r="A411" s="626"/>
      <c r="B411" s="627"/>
      <c r="C411" s="627" t="s">
        <v>187</v>
      </c>
      <c r="D411" s="627">
        <v>14</v>
      </c>
      <c r="E411" s="627">
        <v>13.7</v>
      </c>
      <c r="F411" s="627">
        <v>14</v>
      </c>
      <c r="G411" s="628">
        <v>13.7</v>
      </c>
    </row>
    <row r="412" spans="1:7" ht="13" customHeight="1" x14ac:dyDescent="0.25">
      <c r="A412" s="626"/>
      <c r="B412" s="627"/>
      <c r="C412" s="627" t="s">
        <v>154</v>
      </c>
      <c r="D412" s="627">
        <v>19.8</v>
      </c>
      <c r="E412" s="627">
        <v>11.3</v>
      </c>
      <c r="F412" s="627">
        <v>19.8</v>
      </c>
      <c r="G412" s="628">
        <v>11.3</v>
      </c>
    </row>
    <row r="413" spans="1:7" ht="13" customHeight="1" x14ac:dyDescent="0.25">
      <c r="A413" s="626"/>
      <c r="B413" s="627"/>
      <c r="C413" s="627" t="s">
        <v>65</v>
      </c>
      <c r="D413" s="627">
        <v>0</v>
      </c>
      <c r="E413" s="627">
        <v>0</v>
      </c>
      <c r="F413" s="627">
        <f>20*250/1000</f>
        <v>5</v>
      </c>
      <c r="G413" s="628">
        <f>20*250/1000</f>
        <v>5</v>
      </c>
    </row>
    <row r="414" spans="1:7" ht="13" customHeight="1" x14ac:dyDescent="0.3">
      <c r="A414" s="92"/>
      <c r="B414" s="10"/>
      <c r="C414" s="19" t="s">
        <v>517</v>
      </c>
      <c r="D414" s="122">
        <v>0</v>
      </c>
      <c r="E414" s="122">
        <v>0</v>
      </c>
      <c r="F414" s="93">
        <f>13.5*200/1000</f>
        <v>2.7</v>
      </c>
      <c r="G414" s="94">
        <f>10*200/1000</f>
        <v>2</v>
      </c>
    </row>
    <row r="415" spans="1:7" ht="13" customHeight="1" x14ac:dyDescent="0.3">
      <c r="A415" s="11">
        <v>274</v>
      </c>
      <c r="B415" s="10" t="s">
        <v>220</v>
      </c>
      <c r="C415" s="10" t="s">
        <v>73</v>
      </c>
      <c r="D415" s="93">
        <f>E415*1.095</f>
        <v>105.12</v>
      </c>
      <c r="E415" s="93">
        <v>96</v>
      </c>
      <c r="F415" s="93">
        <f>G415*1.095</f>
        <v>105.12</v>
      </c>
      <c r="G415" s="94">
        <v>96</v>
      </c>
    </row>
    <row r="416" spans="1:7" ht="13" customHeight="1" x14ac:dyDescent="0.3">
      <c r="A416" s="92"/>
      <c r="B416" s="10" t="s">
        <v>351</v>
      </c>
      <c r="C416" s="10" t="s">
        <v>244</v>
      </c>
      <c r="D416" s="93"/>
      <c r="E416" s="576">
        <v>60</v>
      </c>
      <c r="F416" s="93"/>
      <c r="G416" s="585">
        <v>60</v>
      </c>
    </row>
    <row r="417" spans="1:7" ht="13" customHeight="1" x14ac:dyDescent="0.3">
      <c r="A417" s="92"/>
      <c r="B417" s="10"/>
      <c r="C417" s="10" t="s">
        <v>62</v>
      </c>
      <c r="D417" s="93">
        <v>12.5</v>
      </c>
      <c r="E417" s="93">
        <v>10</v>
      </c>
      <c r="F417" s="93">
        <v>12.5</v>
      </c>
      <c r="G417" s="94">
        <v>10</v>
      </c>
    </row>
    <row r="418" spans="1:7" ht="13" customHeight="1" x14ac:dyDescent="0.3">
      <c r="A418" s="92"/>
      <c r="B418" s="10"/>
      <c r="C418" s="10" t="s">
        <v>163</v>
      </c>
      <c r="D418" s="93">
        <f>E418*1.33</f>
        <v>66.5</v>
      </c>
      <c r="E418" s="93">
        <f>50</f>
        <v>50</v>
      </c>
      <c r="F418" s="93">
        <f>G418*1.33</f>
        <v>66.5</v>
      </c>
      <c r="G418" s="94">
        <f>50</f>
        <v>50</v>
      </c>
    </row>
    <row r="419" spans="1:7" ht="13" customHeight="1" x14ac:dyDescent="0.3">
      <c r="A419" s="92"/>
      <c r="B419" s="21"/>
      <c r="C419" s="10" t="s">
        <v>164</v>
      </c>
      <c r="D419" s="93">
        <f>E419*1.43</f>
        <v>71.5</v>
      </c>
      <c r="E419" s="93">
        <f>50</f>
        <v>50</v>
      </c>
      <c r="F419" s="93">
        <f>G419*1.43</f>
        <v>71.5</v>
      </c>
      <c r="G419" s="94">
        <f>50</f>
        <v>50</v>
      </c>
    </row>
    <row r="420" spans="1:7" ht="13" customHeight="1" x14ac:dyDescent="0.3">
      <c r="A420" s="92"/>
      <c r="B420" s="10"/>
      <c r="C420" s="10" t="s">
        <v>165</v>
      </c>
      <c r="D420" s="93">
        <f>E420*1.54</f>
        <v>77</v>
      </c>
      <c r="E420" s="93">
        <f>50</f>
        <v>50</v>
      </c>
      <c r="F420" s="93">
        <f>G420*1.54</f>
        <v>77</v>
      </c>
      <c r="G420" s="94">
        <f>50</f>
        <v>50</v>
      </c>
    </row>
    <row r="421" spans="1:7" ht="13" customHeight="1" x14ac:dyDescent="0.3">
      <c r="A421" s="92"/>
      <c r="B421" s="10"/>
      <c r="C421" s="10" t="s">
        <v>166</v>
      </c>
      <c r="D421" s="93">
        <f>E421*1.67</f>
        <v>83.5</v>
      </c>
      <c r="E421" s="93">
        <f>50</f>
        <v>50</v>
      </c>
      <c r="F421" s="93">
        <f>G421*1.67</f>
        <v>83.5</v>
      </c>
      <c r="G421" s="94">
        <f>50</f>
        <v>50</v>
      </c>
    </row>
    <row r="422" spans="1:7" ht="13" customHeight="1" x14ac:dyDescent="0.3">
      <c r="A422" s="92"/>
      <c r="B422" s="10"/>
      <c r="C422" s="19" t="s">
        <v>62</v>
      </c>
      <c r="D422" s="96">
        <v>12.5</v>
      </c>
      <c r="E422" s="96">
        <v>10</v>
      </c>
      <c r="F422" s="96">
        <v>12.5</v>
      </c>
      <c r="G422" s="587">
        <v>10</v>
      </c>
    </row>
    <row r="423" spans="1:7" ht="13" customHeight="1" x14ac:dyDescent="0.3">
      <c r="A423" s="92"/>
      <c r="B423" s="10"/>
      <c r="C423" s="10" t="s">
        <v>245</v>
      </c>
      <c r="D423" s="93">
        <v>8</v>
      </c>
      <c r="E423" s="93">
        <v>5</v>
      </c>
      <c r="F423" s="93">
        <v>8</v>
      </c>
      <c r="G423" s="94">
        <v>5</v>
      </c>
    </row>
    <row r="424" spans="1:7" ht="13" customHeight="1" x14ac:dyDescent="0.3">
      <c r="A424" s="92"/>
      <c r="B424" s="10"/>
      <c r="C424" s="10" t="s">
        <v>60</v>
      </c>
      <c r="D424" s="93">
        <v>8</v>
      </c>
      <c r="E424" s="93">
        <v>6</v>
      </c>
      <c r="F424" s="93">
        <v>8</v>
      </c>
      <c r="G424" s="94">
        <v>6</v>
      </c>
    </row>
    <row r="425" spans="1:7" ht="13" customHeight="1" x14ac:dyDescent="0.3">
      <c r="A425" s="92"/>
      <c r="B425" s="10"/>
      <c r="C425" s="10" t="s">
        <v>136</v>
      </c>
      <c r="D425" s="93">
        <v>5</v>
      </c>
      <c r="E425" s="93">
        <v>5</v>
      </c>
      <c r="F425" s="93">
        <v>5</v>
      </c>
      <c r="G425" s="94">
        <v>5</v>
      </c>
    </row>
    <row r="426" spans="1:7" ht="13" customHeight="1" x14ac:dyDescent="0.3">
      <c r="A426" s="92"/>
      <c r="B426" s="10"/>
      <c r="C426" s="10" t="s">
        <v>344</v>
      </c>
      <c r="D426" s="93">
        <v>44</v>
      </c>
      <c r="E426" s="93">
        <v>44</v>
      </c>
      <c r="F426" s="93">
        <v>44</v>
      </c>
      <c r="G426" s="94">
        <v>44</v>
      </c>
    </row>
    <row r="427" spans="1:7" ht="13" customHeight="1" x14ac:dyDescent="0.3">
      <c r="A427" s="92"/>
      <c r="B427" s="10"/>
      <c r="C427" s="10" t="s">
        <v>109</v>
      </c>
      <c r="D427" s="93">
        <v>3</v>
      </c>
      <c r="E427" s="93">
        <v>3</v>
      </c>
      <c r="F427" s="93">
        <v>3</v>
      </c>
      <c r="G427" s="94">
        <v>3</v>
      </c>
    </row>
    <row r="428" spans="1:7" ht="13" customHeight="1" x14ac:dyDescent="0.3">
      <c r="A428" s="92"/>
      <c r="B428" s="10"/>
      <c r="C428" s="10" t="s">
        <v>105</v>
      </c>
      <c r="D428" s="93">
        <v>0</v>
      </c>
      <c r="E428" s="93">
        <v>0</v>
      </c>
      <c r="F428" s="93">
        <v>0</v>
      </c>
      <c r="G428" s="94">
        <v>0</v>
      </c>
    </row>
    <row r="429" spans="1:7" ht="13" customHeight="1" x14ac:dyDescent="0.3">
      <c r="A429" s="11">
        <v>372</v>
      </c>
      <c r="B429" s="10" t="s">
        <v>259</v>
      </c>
      <c r="C429" s="10" t="s">
        <v>172</v>
      </c>
      <c r="D429" s="93">
        <f>227*150/1000</f>
        <v>34.049999999999997</v>
      </c>
      <c r="E429" s="93">
        <f>200*150/1000</f>
        <v>30</v>
      </c>
      <c r="F429" s="93">
        <f>227*180/1000</f>
        <v>40.86</v>
      </c>
      <c r="G429" s="94">
        <f>200*180/1000</f>
        <v>36</v>
      </c>
    </row>
    <row r="430" spans="1:7" ht="13" customHeight="1" x14ac:dyDescent="0.3">
      <c r="A430" s="92"/>
      <c r="B430" s="10"/>
      <c r="C430" s="10" t="s">
        <v>55</v>
      </c>
      <c r="D430" s="93">
        <f>100*150/1000</f>
        <v>15</v>
      </c>
      <c r="E430" s="93">
        <f>100*150/1000</f>
        <v>15</v>
      </c>
      <c r="F430" s="93">
        <f>100*180/1000</f>
        <v>18</v>
      </c>
      <c r="G430" s="94">
        <f>100*180/1000</f>
        <v>18</v>
      </c>
    </row>
    <row r="431" spans="1:7" ht="13" customHeight="1" x14ac:dyDescent="0.3">
      <c r="A431" s="92"/>
      <c r="B431" s="10"/>
      <c r="C431" s="10" t="s">
        <v>54</v>
      </c>
      <c r="D431" s="93">
        <f>830*150/1000</f>
        <v>124.5</v>
      </c>
      <c r="E431" s="93">
        <f>830*150/1000</f>
        <v>124.5</v>
      </c>
      <c r="F431" s="93">
        <f>830*180/1000</f>
        <v>149.4</v>
      </c>
      <c r="G431" s="94">
        <f>830*180/1000</f>
        <v>149.4</v>
      </c>
    </row>
    <row r="432" spans="1:7" ht="13" customHeight="1" x14ac:dyDescent="0.3">
      <c r="A432" s="92"/>
      <c r="B432" s="10"/>
      <c r="C432" s="10" t="s">
        <v>143</v>
      </c>
      <c r="D432" s="93">
        <f>1*150/1000</f>
        <v>0.15</v>
      </c>
      <c r="E432" s="93">
        <f>1*150/1000</f>
        <v>0.15</v>
      </c>
      <c r="F432" s="93">
        <f>1*180/1000</f>
        <v>0.18</v>
      </c>
      <c r="G432" s="94">
        <f>1*180/1000</f>
        <v>0.18</v>
      </c>
    </row>
    <row r="433" spans="1:7" ht="13" customHeight="1" x14ac:dyDescent="0.3">
      <c r="A433" s="92">
        <v>1</v>
      </c>
      <c r="B433" s="10" t="s">
        <v>72</v>
      </c>
      <c r="C433" s="19" t="s">
        <v>48</v>
      </c>
      <c r="D433" s="93">
        <v>20</v>
      </c>
      <c r="E433" s="93">
        <v>20</v>
      </c>
      <c r="F433" s="93">
        <v>25</v>
      </c>
      <c r="G433" s="94">
        <v>25</v>
      </c>
    </row>
    <row r="434" spans="1:7" ht="13" customHeight="1" thickBot="1" x14ac:dyDescent="0.35">
      <c r="A434" s="28">
        <v>1</v>
      </c>
      <c r="B434" s="12" t="s">
        <v>17</v>
      </c>
      <c r="C434" s="124" t="s">
        <v>139</v>
      </c>
      <c r="D434" s="63">
        <v>17</v>
      </c>
      <c r="E434" s="63">
        <v>17</v>
      </c>
      <c r="F434" s="63">
        <v>21</v>
      </c>
      <c r="G434" s="184">
        <v>21</v>
      </c>
    </row>
    <row r="435" spans="1:7" ht="13" customHeight="1" x14ac:dyDescent="0.3">
      <c r="A435" s="564">
        <v>208</v>
      </c>
      <c r="B435" s="565" t="s">
        <v>422</v>
      </c>
      <c r="C435" s="16" t="s">
        <v>138</v>
      </c>
      <c r="D435" s="568">
        <f>E436*35/100</f>
        <v>36.4</v>
      </c>
      <c r="E435" s="568">
        <f>E436*35/100</f>
        <v>36.4</v>
      </c>
      <c r="F435" s="568">
        <f>34*162/100</f>
        <v>55.08</v>
      </c>
      <c r="G435" s="569">
        <f>34*162/100</f>
        <v>55.08</v>
      </c>
    </row>
    <row r="436" spans="1:7" ht="13" customHeight="1" x14ac:dyDescent="0.3">
      <c r="A436" s="92"/>
      <c r="B436" s="10" t="s">
        <v>576</v>
      </c>
      <c r="C436" s="10" t="s">
        <v>518</v>
      </c>
      <c r="D436" s="93"/>
      <c r="E436" s="93">
        <f>120*130/150</f>
        <v>104</v>
      </c>
      <c r="F436" s="93"/>
      <c r="G436" s="94">
        <v>162</v>
      </c>
    </row>
    <row r="437" spans="1:7" ht="13" customHeight="1" x14ac:dyDescent="0.3">
      <c r="A437" s="92" t="s">
        <v>342</v>
      </c>
      <c r="B437" s="10" t="s">
        <v>570</v>
      </c>
      <c r="C437" s="10" t="s">
        <v>136</v>
      </c>
      <c r="D437" s="93">
        <f>2*130/150</f>
        <v>1.7333333333333334</v>
      </c>
      <c r="E437" s="93">
        <f>2*130/150</f>
        <v>1.7333333333333334</v>
      </c>
      <c r="F437" s="93">
        <v>3</v>
      </c>
      <c r="G437" s="93">
        <v>3</v>
      </c>
    </row>
    <row r="438" spans="1:7" ht="13" customHeight="1" x14ac:dyDescent="0.3">
      <c r="A438" s="92"/>
      <c r="B438" s="10"/>
      <c r="C438" s="10" t="s">
        <v>519</v>
      </c>
      <c r="D438" s="93">
        <f>2*130/150</f>
        <v>1.7333333333333334</v>
      </c>
      <c r="E438" s="93">
        <f>2*130/150</f>
        <v>1.7333333333333334</v>
      </c>
      <c r="F438" s="93">
        <v>3</v>
      </c>
      <c r="G438" s="94">
        <v>3</v>
      </c>
    </row>
    <row r="439" spans="1:7" ht="13" customHeight="1" x14ac:dyDescent="0.3">
      <c r="A439" s="92"/>
      <c r="B439" s="10"/>
      <c r="C439" s="19" t="s">
        <v>121</v>
      </c>
      <c r="D439" s="96">
        <f>20*130/150</f>
        <v>17.333333333333332</v>
      </c>
      <c r="E439" s="96">
        <f>20*130/150</f>
        <v>17.333333333333332</v>
      </c>
      <c r="F439" s="96">
        <v>24</v>
      </c>
      <c r="G439" s="587">
        <v>24</v>
      </c>
    </row>
    <row r="440" spans="1:7" ht="13" customHeight="1" x14ac:dyDescent="0.3">
      <c r="A440" s="92"/>
      <c r="B440" s="10"/>
      <c r="C440" s="10" t="s">
        <v>51</v>
      </c>
      <c r="D440" s="93">
        <f>25*130/150</f>
        <v>21.666666666666668</v>
      </c>
      <c r="E440" s="93">
        <f>25*130/150</f>
        <v>21.666666666666668</v>
      </c>
      <c r="F440" s="93">
        <v>33</v>
      </c>
      <c r="G440" s="94">
        <v>33</v>
      </c>
    </row>
    <row r="441" spans="1:7" ht="13" customHeight="1" x14ac:dyDescent="0.3">
      <c r="A441" s="92"/>
      <c r="B441" s="10"/>
      <c r="C441" s="10" t="s">
        <v>227</v>
      </c>
      <c r="D441" s="93">
        <v>5</v>
      </c>
      <c r="E441" s="93">
        <v>5</v>
      </c>
      <c r="F441" s="93">
        <v>5</v>
      </c>
      <c r="G441" s="94">
        <v>5</v>
      </c>
    </row>
    <row r="442" spans="1:7" ht="13" customHeight="1" x14ac:dyDescent="0.3">
      <c r="A442" s="92">
        <v>1</v>
      </c>
      <c r="B442" s="10" t="s">
        <v>17</v>
      </c>
      <c r="C442" s="19" t="s">
        <v>52</v>
      </c>
      <c r="D442" s="93">
        <v>17</v>
      </c>
      <c r="E442" s="93">
        <v>17</v>
      </c>
      <c r="F442" s="93">
        <v>21</v>
      </c>
      <c r="G442" s="94">
        <v>21</v>
      </c>
    </row>
    <row r="443" spans="1:7" ht="13" customHeight="1" x14ac:dyDescent="0.3">
      <c r="A443" s="95">
        <v>392</v>
      </c>
      <c r="B443" s="125" t="s">
        <v>634</v>
      </c>
      <c r="C443" s="129" t="s">
        <v>55</v>
      </c>
      <c r="D443" s="589">
        <v>10</v>
      </c>
      <c r="E443" s="589">
        <v>10</v>
      </c>
      <c r="F443" s="589">
        <v>15</v>
      </c>
      <c r="G443" s="590">
        <v>15</v>
      </c>
    </row>
    <row r="444" spans="1:7" ht="61.15" customHeight="1" thickBot="1" x14ac:dyDescent="0.35">
      <c r="A444" s="13"/>
      <c r="B444" s="12"/>
      <c r="C444" s="12" t="s">
        <v>268</v>
      </c>
      <c r="D444" s="63">
        <v>0.2</v>
      </c>
      <c r="E444" s="63">
        <v>0.2</v>
      </c>
      <c r="F444" s="63">
        <v>0.3</v>
      </c>
      <c r="G444" s="184">
        <v>0.3</v>
      </c>
    </row>
    <row r="445" spans="1:7" ht="12.65" customHeight="1" thickBot="1" x14ac:dyDescent="0.35">
      <c r="A445" s="156"/>
      <c r="B445" s="878" t="s">
        <v>595</v>
      </c>
      <c r="C445" s="222"/>
      <c r="D445" s="877" t="s">
        <v>69</v>
      </c>
      <c r="E445" s="874"/>
      <c r="F445" s="873" t="s">
        <v>70</v>
      </c>
      <c r="G445" s="874"/>
    </row>
    <row r="446" spans="1:7" ht="12.65" customHeight="1" thickBot="1" x14ac:dyDescent="0.35">
      <c r="A446" s="175" t="s">
        <v>131</v>
      </c>
      <c r="B446" s="879"/>
      <c r="C446" s="176"/>
      <c r="D446" s="173" t="s">
        <v>91</v>
      </c>
      <c r="E446" s="174" t="s">
        <v>46</v>
      </c>
      <c r="F446" s="173" t="s">
        <v>91</v>
      </c>
      <c r="G446" s="174" t="s">
        <v>46</v>
      </c>
    </row>
    <row r="447" spans="1:7" ht="12.65" customHeight="1" x14ac:dyDescent="0.3">
      <c r="A447" s="629">
        <v>216</v>
      </c>
      <c r="B447" s="16" t="s">
        <v>100</v>
      </c>
      <c r="C447" s="16" t="s">
        <v>121</v>
      </c>
      <c r="D447" s="568">
        <f>42*100/60</f>
        <v>70</v>
      </c>
      <c r="E447" s="568">
        <f>42*100/60</f>
        <v>70</v>
      </c>
      <c r="F447" s="568">
        <f>42*100/60</f>
        <v>70</v>
      </c>
      <c r="G447" s="568">
        <f>42*100/60</f>
        <v>70</v>
      </c>
    </row>
    <row r="448" spans="1:7" ht="12.65" customHeight="1" x14ac:dyDescent="0.3">
      <c r="A448" s="92"/>
      <c r="B448" s="10" t="s">
        <v>426</v>
      </c>
      <c r="C448" s="10" t="s">
        <v>51</v>
      </c>
      <c r="D448" s="93">
        <f>16*100/60</f>
        <v>26.666666666666668</v>
      </c>
      <c r="E448" s="93">
        <f>16*100/60</f>
        <v>26.666666666666668</v>
      </c>
      <c r="F448" s="93">
        <f>16*100/60</f>
        <v>26.666666666666668</v>
      </c>
      <c r="G448" s="93">
        <f>16*100/60</f>
        <v>26.666666666666668</v>
      </c>
    </row>
    <row r="449" spans="1:16" ht="12.65" customHeight="1" x14ac:dyDescent="0.3">
      <c r="A449" s="92"/>
      <c r="B449" s="123"/>
      <c r="C449" s="10" t="s">
        <v>103</v>
      </c>
      <c r="D449" s="93">
        <f>3*100/60</f>
        <v>5</v>
      </c>
      <c r="E449" s="93">
        <f>3*100/60</f>
        <v>5</v>
      </c>
      <c r="F449" s="93">
        <f>3*100/60</f>
        <v>5</v>
      </c>
      <c r="G449" s="93">
        <f>3*100/60</f>
        <v>5</v>
      </c>
    </row>
    <row r="450" spans="1:16" ht="12.65" customHeight="1" x14ac:dyDescent="0.3">
      <c r="A450" s="92"/>
      <c r="B450" s="10"/>
      <c r="C450" s="10" t="s">
        <v>0</v>
      </c>
      <c r="D450" s="93">
        <f>9*100/60</f>
        <v>15</v>
      </c>
      <c r="E450" s="93">
        <f>8*100/60</f>
        <v>13.333333333333334</v>
      </c>
      <c r="F450" s="93">
        <f>9*100/60</f>
        <v>15</v>
      </c>
      <c r="G450" s="93">
        <f>8*100/60</f>
        <v>13.333333333333334</v>
      </c>
    </row>
    <row r="451" spans="1:16" ht="12.65" customHeight="1" x14ac:dyDescent="0.3">
      <c r="A451" s="92"/>
      <c r="B451" s="10"/>
      <c r="C451" s="10" t="s">
        <v>227</v>
      </c>
      <c r="D451" s="93">
        <v>5</v>
      </c>
      <c r="E451" s="93">
        <v>5</v>
      </c>
      <c r="F451" s="93">
        <v>5</v>
      </c>
      <c r="G451" s="94">
        <v>5</v>
      </c>
    </row>
    <row r="452" spans="1:16" ht="12.65" customHeight="1" x14ac:dyDescent="0.3">
      <c r="A452" s="92">
        <v>6</v>
      </c>
      <c r="B452" s="10" t="s">
        <v>28</v>
      </c>
      <c r="C452" s="10" t="s">
        <v>136</v>
      </c>
      <c r="D452" s="93">
        <v>5</v>
      </c>
      <c r="E452" s="93">
        <v>5</v>
      </c>
      <c r="F452" s="93">
        <v>5</v>
      </c>
      <c r="G452" s="94">
        <v>5</v>
      </c>
    </row>
    <row r="453" spans="1:16" ht="12.65" customHeight="1" x14ac:dyDescent="0.3">
      <c r="A453" s="92">
        <v>1</v>
      </c>
      <c r="B453" s="10" t="s">
        <v>283</v>
      </c>
      <c r="C453" s="10" t="s">
        <v>284</v>
      </c>
      <c r="D453" s="93">
        <v>24</v>
      </c>
      <c r="E453" s="93">
        <v>24</v>
      </c>
      <c r="F453" s="93">
        <v>30</v>
      </c>
      <c r="G453" s="94">
        <v>30</v>
      </c>
    </row>
    <row r="454" spans="1:16" ht="12.65" customHeight="1" x14ac:dyDescent="0.3">
      <c r="A454" s="586">
        <v>397</v>
      </c>
      <c r="B454" s="10" t="s">
        <v>53</v>
      </c>
      <c r="C454" s="19" t="s">
        <v>230</v>
      </c>
      <c r="D454" s="93">
        <v>2</v>
      </c>
      <c r="E454" s="93">
        <v>2</v>
      </c>
      <c r="F454" s="93">
        <v>2</v>
      </c>
      <c r="G454" s="94">
        <v>2</v>
      </c>
    </row>
    <row r="455" spans="1:16" ht="12.65" customHeight="1" x14ac:dyDescent="0.3">
      <c r="A455" s="92"/>
      <c r="B455" s="10" t="s">
        <v>343</v>
      </c>
      <c r="C455" s="19" t="s">
        <v>51</v>
      </c>
      <c r="D455" s="93">
        <v>92</v>
      </c>
      <c r="E455" s="93">
        <v>92</v>
      </c>
      <c r="F455" s="93">
        <v>110</v>
      </c>
      <c r="G455" s="94">
        <v>100</v>
      </c>
    </row>
    <row r="456" spans="1:16" s="65" customFormat="1" ht="12.65" customHeight="1" thickBot="1" x14ac:dyDescent="0.35">
      <c r="A456" s="28"/>
      <c r="B456" s="12"/>
      <c r="C456" s="124" t="s">
        <v>55</v>
      </c>
      <c r="D456" s="63">
        <v>8</v>
      </c>
      <c r="E456" s="63">
        <v>8</v>
      </c>
      <c r="F456" s="63">
        <v>10</v>
      </c>
      <c r="G456" s="184">
        <v>10</v>
      </c>
      <c r="H456" s="487"/>
      <c r="I456" s="487"/>
      <c r="J456" s="487"/>
      <c r="K456" s="487"/>
      <c r="L456" s="487"/>
      <c r="M456" s="487"/>
      <c r="N456" s="487"/>
      <c r="O456" s="487"/>
      <c r="P456" s="487"/>
    </row>
    <row r="457" spans="1:16" s="65" customFormat="1" ht="12.65" customHeight="1" thickBot="1" x14ac:dyDescent="0.35">
      <c r="A457" s="372">
        <v>401</v>
      </c>
      <c r="B457" s="243" t="s">
        <v>156</v>
      </c>
      <c r="C457" s="224" t="s">
        <v>183</v>
      </c>
      <c r="D457" s="699">
        <v>155</v>
      </c>
      <c r="E457" s="699">
        <v>150</v>
      </c>
      <c r="F457" s="630">
        <v>185</v>
      </c>
      <c r="G457" s="631">
        <v>180</v>
      </c>
      <c r="H457" s="487"/>
      <c r="I457" s="487"/>
      <c r="J457" s="487"/>
      <c r="K457" s="487"/>
      <c r="L457" s="487"/>
      <c r="M457" s="487"/>
      <c r="N457" s="487"/>
      <c r="O457" s="487"/>
      <c r="P457" s="487"/>
    </row>
    <row r="458" spans="1:16" s="65" customFormat="1" ht="12.65" customHeight="1" x14ac:dyDescent="0.3">
      <c r="A458" s="509">
        <v>48</v>
      </c>
      <c r="B458" s="16" t="s">
        <v>319</v>
      </c>
      <c r="C458" s="16" t="s">
        <v>339</v>
      </c>
      <c r="D458" s="660">
        <v>3.8</v>
      </c>
      <c r="E458" s="660">
        <f>135*30/1000</f>
        <v>4.05</v>
      </c>
      <c r="F458" s="660">
        <v>5.0999999999999996</v>
      </c>
      <c r="G458" s="661">
        <f>135*50/1000</f>
        <v>6.75</v>
      </c>
      <c r="H458" s="487"/>
      <c r="I458" s="487"/>
      <c r="J458" s="487"/>
      <c r="K458" s="487"/>
      <c r="L458" s="487"/>
      <c r="M458" s="487"/>
      <c r="N458" s="487"/>
      <c r="O458" s="487"/>
      <c r="P458" s="487"/>
    </row>
    <row r="459" spans="1:16" s="65" customFormat="1" ht="12.65" customHeight="1" x14ac:dyDescent="0.3">
      <c r="A459" s="139"/>
      <c r="B459" s="665" t="s">
        <v>580</v>
      </c>
      <c r="C459" s="10" t="s">
        <v>103</v>
      </c>
      <c r="D459" s="662">
        <f>50*30/1000</f>
        <v>1.5</v>
      </c>
      <c r="E459" s="662">
        <f>50*30/1000</f>
        <v>1.5</v>
      </c>
      <c r="F459" s="662">
        <f>50*50/1000</f>
        <v>2.5</v>
      </c>
      <c r="G459" s="663">
        <f>50*50/1000</f>
        <v>2.5</v>
      </c>
      <c r="H459" s="487"/>
      <c r="I459" s="487"/>
      <c r="J459" s="487"/>
      <c r="K459" s="487"/>
      <c r="L459" s="487"/>
      <c r="M459" s="487"/>
      <c r="N459" s="487"/>
      <c r="O459" s="487"/>
      <c r="P459" s="487"/>
    </row>
    <row r="460" spans="1:16" s="65" customFormat="1" ht="12.65" customHeight="1" x14ac:dyDescent="0.3">
      <c r="A460" s="139"/>
      <c r="B460" s="10"/>
      <c r="C460" s="10" t="s">
        <v>132</v>
      </c>
      <c r="D460" s="662">
        <f>206*30/1000</f>
        <v>6.18</v>
      </c>
      <c r="E460" s="662">
        <f>165*30/1000</f>
        <v>4.95</v>
      </c>
      <c r="F460" s="662">
        <f>206*50/1000</f>
        <v>10.3</v>
      </c>
      <c r="G460" s="663">
        <f>165*50/1000</f>
        <v>8.25</v>
      </c>
      <c r="H460" s="487"/>
      <c r="I460" s="487"/>
      <c r="J460" s="487"/>
      <c r="K460" s="487"/>
      <c r="L460" s="487"/>
      <c r="M460" s="487"/>
      <c r="N460" s="487"/>
      <c r="O460" s="487"/>
      <c r="P460" s="487"/>
    </row>
    <row r="461" spans="1:16" s="65" customFormat="1" ht="12.65" customHeight="1" x14ac:dyDescent="0.3">
      <c r="A461" s="139"/>
      <c r="B461" s="10"/>
      <c r="C461" s="10" t="s">
        <v>163</v>
      </c>
      <c r="D461" s="662">
        <f>E461*1.33</f>
        <v>19.950000000000003</v>
      </c>
      <c r="E461" s="662">
        <f>500*30/1000</f>
        <v>15</v>
      </c>
      <c r="F461" s="662">
        <f>G461*1.33</f>
        <v>33.25</v>
      </c>
      <c r="G461" s="663">
        <f>500*50/1000</f>
        <v>25</v>
      </c>
      <c r="H461" s="487"/>
      <c r="I461" s="487"/>
      <c r="J461" s="487"/>
      <c r="K461" s="487"/>
      <c r="L461" s="487"/>
      <c r="M461" s="487"/>
      <c r="N461" s="487"/>
      <c r="O461" s="487"/>
      <c r="P461" s="487"/>
    </row>
    <row r="462" spans="1:16" s="65" customFormat="1" ht="12.65" customHeight="1" x14ac:dyDescent="0.3">
      <c r="A462" s="139"/>
      <c r="B462" s="10"/>
      <c r="C462" s="10" t="s">
        <v>165</v>
      </c>
      <c r="D462" s="662">
        <f>E462*1.54</f>
        <v>23.1</v>
      </c>
      <c r="E462" s="662">
        <f>500*30/1000</f>
        <v>15</v>
      </c>
      <c r="F462" s="662">
        <f>G462*1.54</f>
        <v>38.5</v>
      </c>
      <c r="G462" s="663">
        <f>500*50/1000</f>
        <v>25</v>
      </c>
      <c r="H462" s="487"/>
      <c r="I462" s="487"/>
      <c r="J462" s="487"/>
      <c r="K462" s="487"/>
      <c r="L462" s="487"/>
      <c r="M462" s="487"/>
      <c r="N462" s="487"/>
      <c r="O462" s="487"/>
      <c r="P462" s="487"/>
    </row>
    <row r="463" spans="1:16" s="65" customFormat="1" ht="12.65" customHeight="1" x14ac:dyDescent="0.3">
      <c r="A463" s="139"/>
      <c r="B463" s="10"/>
      <c r="C463" s="10" t="s">
        <v>166</v>
      </c>
      <c r="D463" s="662">
        <f>E463*1.67</f>
        <v>25.049999999999997</v>
      </c>
      <c r="E463" s="662">
        <f>500*30/1000</f>
        <v>15</v>
      </c>
      <c r="F463" s="662">
        <f>G463*1.67</f>
        <v>41.75</v>
      </c>
      <c r="G463" s="663">
        <f>500*50/1000</f>
        <v>25</v>
      </c>
      <c r="H463" s="487"/>
      <c r="I463" s="487"/>
      <c r="J463" s="487"/>
      <c r="K463" s="487"/>
      <c r="L463" s="487"/>
      <c r="M463" s="487"/>
      <c r="N463" s="487"/>
      <c r="O463" s="487"/>
      <c r="P463" s="487"/>
    </row>
    <row r="464" spans="1:16" s="65" customFormat="1" ht="12.65" customHeight="1" x14ac:dyDescent="0.3">
      <c r="A464" s="139"/>
      <c r="B464" s="10"/>
      <c r="C464" s="10" t="s">
        <v>60</v>
      </c>
      <c r="D464" s="662">
        <f>155*30/1000</f>
        <v>4.6500000000000004</v>
      </c>
      <c r="E464" s="662">
        <f>130*30/1000</f>
        <v>3.9</v>
      </c>
      <c r="F464" s="662">
        <f>155*50/1000</f>
        <v>7.75</v>
      </c>
      <c r="G464" s="663">
        <f>130*50/1000</f>
        <v>6.5</v>
      </c>
      <c r="H464" s="487"/>
      <c r="I464" s="487"/>
      <c r="J464" s="487"/>
      <c r="K464" s="487"/>
      <c r="L464" s="487"/>
      <c r="M464" s="487"/>
      <c r="N464" s="487"/>
      <c r="O464" s="487"/>
      <c r="P464" s="487"/>
    </row>
    <row r="465" spans="1:16" s="65" customFormat="1" ht="12.65" customHeight="1" x14ac:dyDescent="0.3">
      <c r="A465" s="139"/>
      <c r="B465" s="10"/>
      <c r="C465" s="10" t="s">
        <v>338</v>
      </c>
      <c r="D465" s="662">
        <f>41*30/1000</f>
        <v>1.23</v>
      </c>
      <c r="E465" s="662">
        <f>30*30/1000</f>
        <v>0.9</v>
      </c>
      <c r="F465" s="662">
        <f>41*50/1000</f>
        <v>2.0499999999999998</v>
      </c>
      <c r="G465" s="663">
        <f>30*50/1000</f>
        <v>1.5</v>
      </c>
      <c r="H465" s="487"/>
      <c r="I465" s="487"/>
      <c r="J465" s="487"/>
      <c r="K465" s="487"/>
      <c r="L465" s="487"/>
      <c r="M465" s="487"/>
      <c r="N465" s="487"/>
      <c r="O465" s="487"/>
      <c r="P465" s="487"/>
    </row>
    <row r="466" spans="1:16" s="65" customFormat="1" ht="12.65" customHeight="1" x14ac:dyDescent="0.3">
      <c r="A466" s="92"/>
      <c r="B466" s="10"/>
      <c r="C466" s="10" t="s">
        <v>144</v>
      </c>
      <c r="D466" s="662">
        <f>50*30/1000</f>
        <v>1.5</v>
      </c>
      <c r="E466" s="662">
        <f>50*30/1000</f>
        <v>1.5</v>
      </c>
      <c r="F466" s="662">
        <f>50*50/1000</f>
        <v>2.5</v>
      </c>
      <c r="G466" s="663">
        <f>50*50/1000</f>
        <v>2.5</v>
      </c>
      <c r="H466" s="487"/>
      <c r="I466" s="487"/>
      <c r="J466" s="487"/>
      <c r="K466" s="487"/>
      <c r="L466" s="487"/>
      <c r="M466" s="487"/>
      <c r="N466" s="487"/>
      <c r="O466" s="487"/>
      <c r="P466" s="487"/>
    </row>
    <row r="467" spans="1:16" s="65" customFormat="1" ht="12.65" customHeight="1" x14ac:dyDescent="0.3">
      <c r="A467" s="11">
        <v>83</v>
      </c>
      <c r="B467" s="10" t="s">
        <v>241</v>
      </c>
      <c r="C467" s="10" t="s">
        <v>163</v>
      </c>
      <c r="D467" s="662">
        <f>E467*1.33</f>
        <v>79.800000000000011</v>
      </c>
      <c r="E467" s="662">
        <f>400*150/1000</f>
        <v>60</v>
      </c>
      <c r="F467" s="662">
        <f>G467*1.33</f>
        <v>95.76</v>
      </c>
      <c r="G467" s="663">
        <f>400*180/1000</f>
        <v>72</v>
      </c>
      <c r="H467" s="487"/>
      <c r="I467" s="487"/>
      <c r="J467" s="487"/>
      <c r="K467" s="487"/>
      <c r="L467" s="487"/>
      <c r="M467" s="487"/>
      <c r="N467" s="487"/>
      <c r="O467" s="487"/>
      <c r="P467" s="487"/>
    </row>
    <row r="468" spans="1:16" s="65" customFormat="1" ht="12.65" customHeight="1" x14ac:dyDescent="0.3">
      <c r="A468" s="92"/>
      <c r="B468" s="19"/>
      <c r="C468" s="10" t="s">
        <v>164</v>
      </c>
      <c r="D468" s="662">
        <f>E468*1.43</f>
        <v>85.8</v>
      </c>
      <c r="E468" s="662">
        <f>400*150/1000</f>
        <v>60</v>
      </c>
      <c r="F468" s="662">
        <f>G468*1.43</f>
        <v>102.96</v>
      </c>
      <c r="G468" s="663">
        <f>400*180/1000</f>
        <v>72</v>
      </c>
      <c r="H468" s="487"/>
      <c r="I468" s="487"/>
      <c r="J468" s="487"/>
      <c r="K468" s="487"/>
      <c r="L468" s="487"/>
      <c r="M468" s="487"/>
      <c r="N468" s="487"/>
      <c r="O468" s="487"/>
      <c r="P468" s="487"/>
    </row>
    <row r="469" spans="1:16" s="65" customFormat="1" ht="12.65" customHeight="1" x14ac:dyDescent="0.3">
      <c r="A469" s="92"/>
      <c r="B469" s="677" t="s">
        <v>596</v>
      </c>
      <c r="C469" s="10" t="s">
        <v>165</v>
      </c>
      <c r="D469" s="662">
        <f>E469*1.54</f>
        <v>92.4</v>
      </c>
      <c r="E469" s="662">
        <f>400*150/1000</f>
        <v>60</v>
      </c>
      <c r="F469" s="662">
        <f>G469*1.54</f>
        <v>110.88</v>
      </c>
      <c r="G469" s="663">
        <f>400*180/1000</f>
        <v>72</v>
      </c>
      <c r="H469" s="487"/>
      <c r="I469" s="487"/>
      <c r="J469" s="487"/>
      <c r="K469" s="487"/>
      <c r="L469" s="487"/>
      <c r="M469" s="487"/>
      <c r="N469" s="487"/>
      <c r="O469" s="487"/>
      <c r="P469" s="487"/>
    </row>
    <row r="470" spans="1:16" s="65" customFormat="1" ht="12.65" customHeight="1" x14ac:dyDescent="0.3">
      <c r="A470" s="92"/>
      <c r="B470" s="19"/>
      <c r="C470" s="10" t="s">
        <v>166</v>
      </c>
      <c r="D470" s="662">
        <f>E470*1.67</f>
        <v>100.19999999999999</v>
      </c>
      <c r="E470" s="662">
        <f>400*150/1000</f>
        <v>60</v>
      </c>
      <c r="F470" s="662">
        <f>G470*1.67</f>
        <v>120.24</v>
      </c>
      <c r="G470" s="663">
        <f>400*180/1000</f>
        <v>72</v>
      </c>
      <c r="H470" s="487"/>
      <c r="I470" s="487"/>
      <c r="J470" s="487"/>
      <c r="K470" s="487"/>
      <c r="L470" s="487"/>
      <c r="M470" s="487"/>
      <c r="N470" s="487"/>
      <c r="O470" s="487"/>
      <c r="P470" s="487"/>
    </row>
    <row r="471" spans="1:16" s="65" customFormat="1" ht="12.65" customHeight="1" x14ac:dyDescent="0.3">
      <c r="A471" s="92"/>
      <c r="B471" s="19"/>
      <c r="C471" s="19" t="s">
        <v>62</v>
      </c>
      <c r="D471" s="662">
        <f>50*150/1000</f>
        <v>7.5</v>
      </c>
      <c r="E471" s="662">
        <f>40*150/1000</f>
        <v>6</v>
      </c>
      <c r="F471" s="662">
        <f>50*180/1000</f>
        <v>9</v>
      </c>
      <c r="G471" s="663">
        <f>40*180/1000</f>
        <v>7.2</v>
      </c>
      <c r="H471" s="487"/>
      <c r="I471" s="487"/>
      <c r="J471" s="487"/>
      <c r="K471" s="487"/>
      <c r="L471" s="487"/>
      <c r="M471" s="487"/>
      <c r="N471" s="487"/>
      <c r="O471" s="487"/>
      <c r="P471" s="487"/>
    </row>
    <row r="472" spans="1:16" s="65" customFormat="1" ht="12.65" customHeight="1" x14ac:dyDescent="0.3">
      <c r="A472" s="92"/>
      <c r="B472" s="19"/>
      <c r="C472" s="19" t="s">
        <v>60</v>
      </c>
      <c r="D472" s="662">
        <f>48*150/1000</f>
        <v>7.2</v>
      </c>
      <c r="E472" s="662">
        <f>40*150/1000</f>
        <v>6</v>
      </c>
      <c r="F472" s="662">
        <f>48*180/1000</f>
        <v>8.64</v>
      </c>
      <c r="G472" s="663">
        <f>40*180/1000</f>
        <v>7.2</v>
      </c>
      <c r="H472" s="487"/>
      <c r="I472" s="487"/>
      <c r="J472" s="487"/>
      <c r="K472" s="487"/>
      <c r="L472" s="487"/>
      <c r="M472" s="487"/>
      <c r="N472" s="487"/>
      <c r="O472" s="487"/>
      <c r="P472" s="487"/>
    </row>
    <row r="473" spans="1:16" s="65" customFormat="1" ht="12.65" customHeight="1" x14ac:dyDescent="0.3">
      <c r="A473" s="92"/>
      <c r="B473" s="19"/>
      <c r="C473" s="19" t="s">
        <v>105</v>
      </c>
      <c r="D473" s="662">
        <v>0</v>
      </c>
      <c r="E473" s="662">
        <v>0</v>
      </c>
      <c r="F473" s="662">
        <f>4*180/1000</f>
        <v>0.72</v>
      </c>
      <c r="G473" s="663">
        <f>4*180/1000</f>
        <v>0.72</v>
      </c>
      <c r="H473" s="487"/>
      <c r="I473" s="487"/>
      <c r="J473" s="487"/>
      <c r="K473" s="487"/>
      <c r="L473" s="487"/>
      <c r="M473" s="487"/>
      <c r="N473" s="487"/>
      <c r="O473" s="487"/>
      <c r="P473" s="487"/>
    </row>
    <row r="474" spans="1:16" s="65" customFormat="1" ht="12.65" customHeight="1" x14ac:dyDescent="0.3">
      <c r="A474" s="92"/>
      <c r="B474" s="19"/>
      <c r="C474" s="19" t="s">
        <v>103</v>
      </c>
      <c r="D474" s="662">
        <f>10*150/1000</f>
        <v>1.5</v>
      </c>
      <c r="E474" s="662">
        <f>10*150/1000</f>
        <v>1.5</v>
      </c>
      <c r="F474" s="662">
        <f>10*180/1000</f>
        <v>1.8</v>
      </c>
      <c r="G474" s="663">
        <f>10*180/1000</f>
        <v>1.8</v>
      </c>
      <c r="H474" s="487"/>
      <c r="I474" s="487"/>
      <c r="J474" s="487"/>
      <c r="K474" s="487"/>
      <c r="L474" s="487"/>
      <c r="M474" s="487"/>
      <c r="N474" s="487"/>
      <c r="O474" s="487"/>
      <c r="P474" s="487"/>
    </row>
    <row r="475" spans="1:16" s="65" customFormat="1" ht="12.65" customHeight="1" x14ac:dyDescent="0.3">
      <c r="A475" s="11"/>
      <c r="B475" s="10"/>
      <c r="C475" s="19" t="s">
        <v>137</v>
      </c>
      <c r="D475" s="662">
        <f>E475*1.15</f>
        <v>26.22</v>
      </c>
      <c r="E475" s="662">
        <f>1140*20/1000</f>
        <v>22.8</v>
      </c>
      <c r="F475" s="662">
        <f>G475*1.15</f>
        <v>26.22</v>
      </c>
      <c r="G475" s="662">
        <f>1140*20/1000</f>
        <v>22.8</v>
      </c>
      <c r="H475" s="487"/>
      <c r="I475" s="487"/>
      <c r="J475" s="487"/>
      <c r="K475" s="487"/>
      <c r="L475" s="487"/>
      <c r="M475" s="487"/>
      <c r="N475" s="487"/>
      <c r="O475" s="487"/>
      <c r="P475" s="487"/>
    </row>
    <row r="476" spans="1:16" s="65" customFormat="1" ht="12.65" customHeight="1" x14ac:dyDescent="0.3">
      <c r="A476" s="92"/>
      <c r="B476" s="19"/>
      <c r="C476" s="10" t="s">
        <v>60</v>
      </c>
      <c r="D476" s="662">
        <f>119*20/1000</f>
        <v>2.38</v>
      </c>
      <c r="E476" s="662">
        <f>100*20/1000</f>
        <v>2</v>
      </c>
      <c r="F476" s="662">
        <f>119*20/1000</f>
        <v>2.38</v>
      </c>
      <c r="G476" s="662">
        <f>100*20/1000</f>
        <v>2</v>
      </c>
      <c r="H476" s="487"/>
      <c r="I476" s="487"/>
      <c r="J476" s="487"/>
      <c r="K476" s="487"/>
      <c r="L476" s="487"/>
      <c r="M476" s="487"/>
      <c r="N476" s="487"/>
      <c r="O476" s="487"/>
      <c r="P476" s="487"/>
    </row>
    <row r="477" spans="1:16" s="65" customFormat="1" ht="12.65" customHeight="1" x14ac:dyDescent="0.3">
      <c r="A477" s="92"/>
      <c r="B477" s="19"/>
      <c r="C477" s="10" t="s">
        <v>121</v>
      </c>
      <c r="D477" s="662">
        <f>80*20/1000</f>
        <v>1.6</v>
      </c>
      <c r="E477" s="662">
        <f>80*20/1000</f>
        <v>1.6</v>
      </c>
      <c r="F477" s="662">
        <f>80*20/1000</f>
        <v>1.6</v>
      </c>
      <c r="G477" s="662">
        <f>80*20/1000</f>
        <v>1.6</v>
      </c>
      <c r="H477" s="487"/>
      <c r="I477" s="487"/>
      <c r="J477" s="487"/>
      <c r="K477" s="487"/>
      <c r="L477" s="487"/>
      <c r="M477" s="487"/>
      <c r="N477" s="487"/>
      <c r="O477" s="487"/>
      <c r="P477" s="487"/>
    </row>
    <row r="478" spans="1:16" s="65" customFormat="1" ht="12.65" customHeight="1" x14ac:dyDescent="0.3">
      <c r="A478" s="92"/>
      <c r="B478" s="19"/>
      <c r="C478" s="10" t="s">
        <v>54</v>
      </c>
      <c r="D478" s="662">
        <f>100*20/1000</f>
        <v>2</v>
      </c>
      <c r="E478" s="662">
        <f>100*20/1000</f>
        <v>2</v>
      </c>
      <c r="F478" s="662">
        <f>100*20/1000</f>
        <v>2</v>
      </c>
      <c r="G478" s="662">
        <f>100*20/1000</f>
        <v>2</v>
      </c>
      <c r="H478" s="487"/>
      <c r="I478" s="487"/>
      <c r="J478" s="487"/>
      <c r="K478" s="487"/>
      <c r="L478" s="487"/>
      <c r="M478" s="487"/>
      <c r="N478" s="487"/>
      <c r="O478" s="487"/>
      <c r="P478" s="487"/>
    </row>
    <row r="479" spans="1:16" s="65" customFormat="1" ht="12.65" customHeight="1" x14ac:dyDescent="0.3">
      <c r="A479" s="92"/>
      <c r="B479" s="19"/>
      <c r="C479" s="10" t="s">
        <v>56</v>
      </c>
      <c r="D479" s="662">
        <f>9*20/1000</f>
        <v>0.18</v>
      </c>
      <c r="E479" s="662">
        <f>9*20/1000</f>
        <v>0.18</v>
      </c>
      <c r="F479" s="662">
        <f>9*20/1000</f>
        <v>0.18</v>
      </c>
      <c r="G479" s="662">
        <f>9*20/1000</f>
        <v>0.18</v>
      </c>
      <c r="H479" s="487"/>
      <c r="I479" s="487"/>
      <c r="J479" s="487"/>
      <c r="K479" s="487"/>
      <c r="L479" s="487"/>
      <c r="M479" s="487"/>
      <c r="N479" s="487"/>
      <c r="O479" s="487"/>
      <c r="P479" s="487"/>
    </row>
    <row r="480" spans="1:16" s="65" customFormat="1" ht="12.65" customHeight="1" x14ac:dyDescent="0.3">
      <c r="A480" s="92"/>
      <c r="B480" s="19"/>
      <c r="C480" s="574" t="s">
        <v>526</v>
      </c>
      <c r="D480" s="64">
        <f>1430*20/1000</f>
        <v>28.6</v>
      </c>
      <c r="E480" s="64">
        <f>1430*20/1000</f>
        <v>28.6</v>
      </c>
      <c r="F480" s="64">
        <f>1430*20/1000</f>
        <v>28.6</v>
      </c>
      <c r="G480" s="64">
        <f>1430*20/1000</f>
        <v>28.6</v>
      </c>
      <c r="H480" s="487"/>
      <c r="I480" s="487"/>
      <c r="J480" s="487"/>
      <c r="K480" s="487"/>
      <c r="L480" s="487"/>
      <c r="M480" s="487"/>
      <c r="N480" s="487"/>
      <c r="O480" s="487"/>
      <c r="P480" s="487"/>
    </row>
    <row r="481" spans="1:8" s="65" customFormat="1" ht="12.65" customHeight="1" x14ac:dyDescent="0.3">
      <c r="A481" s="11">
        <v>313</v>
      </c>
      <c r="B481" s="10" t="s">
        <v>559</v>
      </c>
      <c r="C481" s="115" t="s">
        <v>341</v>
      </c>
      <c r="D481" s="632">
        <f>47.6*77.6/100</f>
        <v>36.937599999999996</v>
      </c>
      <c r="E481" s="632">
        <f>47.6*77.6/100</f>
        <v>36.937599999999996</v>
      </c>
      <c r="F481" s="632">
        <f>47.6*116.4/100</f>
        <v>55.406400000000005</v>
      </c>
      <c r="G481" s="632">
        <f>47.6*116.4/100</f>
        <v>55.406400000000005</v>
      </c>
      <c r="H481" s="487"/>
    </row>
    <row r="482" spans="1:8" s="65" customFormat="1" ht="12.65" customHeight="1" x14ac:dyDescent="0.3">
      <c r="A482" s="92"/>
      <c r="B482" s="19" t="s">
        <v>563</v>
      </c>
      <c r="C482" s="633" t="s">
        <v>136</v>
      </c>
      <c r="D482" s="607">
        <f>35*77.6/1000</f>
        <v>2.7160000000000002</v>
      </c>
      <c r="E482" s="607">
        <f>35*77.6/1000</f>
        <v>2.7160000000000002</v>
      </c>
      <c r="F482" s="607">
        <f>35*116.4/1000</f>
        <v>4.0739999999999998</v>
      </c>
      <c r="G482" s="607">
        <f>35*116.4/1000</f>
        <v>4.0739999999999998</v>
      </c>
      <c r="H482" s="487"/>
    </row>
    <row r="483" spans="1:8" s="65" customFormat="1" ht="12.65" customHeight="1" x14ac:dyDescent="0.3">
      <c r="A483" s="92"/>
      <c r="B483" s="19"/>
      <c r="C483" s="115" t="s">
        <v>54</v>
      </c>
      <c r="D483" s="607">
        <f>710*80/1000</f>
        <v>56.8</v>
      </c>
      <c r="E483" s="607">
        <f>710*80/1000</f>
        <v>56.8</v>
      </c>
      <c r="F483" s="607">
        <f>710*120/1000</f>
        <v>85.2</v>
      </c>
      <c r="G483" s="607">
        <f>710*120/1000</f>
        <v>85.2</v>
      </c>
      <c r="H483" s="487"/>
    </row>
    <row r="484" spans="1:8" s="65" customFormat="1" ht="12.65" customHeight="1" x14ac:dyDescent="0.3">
      <c r="A484" s="11">
        <v>307</v>
      </c>
      <c r="B484" s="10" t="s">
        <v>597</v>
      </c>
      <c r="C484" s="633" t="s">
        <v>201</v>
      </c>
      <c r="D484" s="607">
        <v>54</v>
      </c>
      <c r="E484" s="607">
        <v>32</v>
      </c>
      <c r="F484" s="607">
        <v>72</v>
      </c>
      <c r="G484" s="607">
        <v>42</v>
      </c>
      <c r="H484" s="487"/>
    </row>
    <row r="485" spans="1:8" s="65" customFormat="1" ht="12.65" customHeight="1" x14ac:dyDescent="0.3">
      <c r="A485" s="92"/>
      <c r="B485" s="10"/>
      <c r="C485" s="633" t="s">
        <v>527</v>
      </c>
      <c r="D485" s="607">
        <f>96*32/44</f>
        <v>69.818181818181813</v>
      </c>
      <c r="E485" s="607">
        <v>32</v>
      </c>
      <c r="F485" s="607">
        <f>127*42/59</f>
        <v>90.406779661016955</v>
      </c>
      <c r="G485" s="607">
        <v>42</v>
      </c>
      <c r="H485" s="487"/>
    </row>
    <row r="486" spans="1:8" s="65" customFormat="1" ht="12.65" customHeight="1" x14ac:dyDescent="0.3">
      <c r="A486" s="92"/>
      <c r="B486" s="10" t="s">
        <v>528</v>
      </c>
      <c r="C486" s="633" t="s">
        <v>223</v>
      </c>
      <c r="D486" s="607">
        <v>33</v>
      </c>
      <c r="E486" s="607">
        <v>32</v>
      </c>
      <c r="F486" s="607">
        <v>43</v>
      </c>
      <c r="G486" s="607">
        <v>42</v>
      </c>
      <c r="H486" s="487"/>
    </row>
    <row r="487" spans="1:8" s="65" customFormat="1" ht="12.65" customHeight="1" x14ac:dyDescent="0.3">
      <c r="A487" s="92"/>
      <c r="B487" s="10"/>
      <c r="C487" s="633" t="s">
        <v>0</v>
      </c>
      <c r="D487" s="607">
        <v>3.3</v>
      </c>
      <c r="E487" s="607">
        <v>3</v>
      </c>
      <c r="F487" s="607">
        <v>4.3</v>
      </c>
      <c r="G487" s="607">
        <v>4</v>
      </c>
      <c r="H487" s="487"/>
    </row>
    <row r="488" spans="1:8" s="65" customFormat="1" ht="12.65" customHeight="1" x14ac:dyDescent="0.3">
      <c r="A488" s="92"/>
      <c r="B488" s="10" t="s">
        <v>530</v>
      </c>
      <c r="C488" s="115" t="s">
        <v>52</v>
      </c>
      <c r="D488" s="632">
        <v>8</v>
      </c>
      <c r="E488" s="632">
        <v>8</v>
      </c>
      <c r="F488" s="632">
        <v>11</v>
      </c>
      <c r="G488" s="632">
        <v>11</v>
      </c>
      <c r="H488" s="487"/>
    </row>
    <row r="489" spans="1:8" s="65" customFormat="1" ht="12.65" customHeight="1" x14ac:dyDescent="0.3">
      <c r="A489" s="92"/>
      <c r="B489" s="10" t="s">
        <v>529</v>
      </c>
      <c r="C489" s="633" t="s">
        <v>136</v>
      </c>
      <c r="D489" s="607">
        <v>4</v>
      </c>
      <c r="E489" s="607">
        <v>4</v>
      </c>
      <c r="F489" s="607">
        <v>5</v>
      </c>
      <c r="G489" s="607">
        <v>5</v>
      </c>
      <c r="H489" s="487"/>
    </row>
    <row r="490" spans="1:8" s="65" customFormat="1" ht="12.65" customHeight="1" x14ac:dyDescent="0.3">
      <c r="A490" s="92"/>
      <c r="B490" s="10"/>
      <c r="C490" s="633" t="s">
        <v>51</v>
      </c>
      <c r="D490" s="607">
        <v>11</v>
      </c>
      <c r="E490" s="607">
        <v>11</v>
      </c>
      <c r="F490" s="607">
        <v>15</v>
      </c>
      <c r="G490" s="607">
        <v>15</v>
      </c>
      <c r="H490" s="487"/>
    </row>
    <row r="491" spans="1:8" s="65" customFormat="1" ht="12.65" customHeight="1" x14ac:dyDescent="0.3">
      <c r="A491" s="92">
        <v>352</v>
      </c>
      <c r="B491" s="10" t="s">
        <v>64</v>
      </c>
      <c r="C491" s="10" t="s">
        <v>267</v>
      </c>
      <c r="D491" s="576"/>
      <c r="E491" s="576">
        <v>20</v>
      </c>
      <c r="F491" s="576"/>
      <c r="G491" s="585">
        <v>27</v>
      </c>
      <c r="H491" s="487"/>
    </row>
    <row r="492" spans="1:8" s="65" customFormat="1" ht="12.65" customHeight="1" x14ac:dyDescent="0.3">
      <c r="A492" s="92"/>
      <c r="B492" s="10"/>
      <c r="C492" s="10" t="s">
        <v>51</v>
      </c>
      <c r="D492" s="93">
        <f>500*E491/1000</f>
        <v>10</v>
      </c>
      <c r="E492" s="93">
        <f>500*E491/1000</f>
        <v>10</v>
      </c>
      <c r="F492" s="93">
        <f>500*G491/1000</f>
        <v>13.5</v>
      </c>
      <c r="G492" s="94">
        <f>500*G491/1000</f>
        <v>13.5</v>
      </c>
      <c r="H492" s="487"/>
    </row>
    <row r="493" spans="1:8" s="65" customFormat="1" ht="12.65" customHeight="1" x14ac:dyDescent="0.3">
      <c r="A493" s="92"/>
      <c r="B493" s="10"/>
      <c r="C493" s="10" t="s">
        <v>136</v>
      </c>
      <c r="D493" s="93">
        <f>110*E491/1000</f>
        <v>2.2000000000000002</v>
      </c>
      <c r="E493" s="93">
        <f>110*E491/1000</f>
        <v>2.2000000000000002</v>
      </c>
      <c r="F493" s="93">
        <f>110*G491/1000</f>
        <v>2.97</v>
      </c>
      <c r="G493" s="94">
        <f>110*G491/1000</f>
        <v>2.97</v>
      </c>
      <c r="H493" s="487"/>
    </row>
    <row r="494" spans="1:8" s="65" customFormat="1" ht="12.65" customHeight="1" x14ac:dyDescent="0.3">
      <c r="A494" s="92"/>
      <c r="B494" s="10"/>
      <c r="C494" s="10" t="s">
        <v>109</v>
      </c>
      <c r="D494" s="93">
        <f>110*E491/1000</f>
        <v>2.2000000000000002</v>
      </c>
      <c r="E494" s="93">
        <f>110*E491/1000</f>
        <v>2.2000000000000002</v>
      </c>
      <c r="F494" s="93">
        <f>110*G491/1000</f>
        <v>2.97</v>
      </c>
      <c r="G494" s="94">
        <f>110*G491/1000</f>
        <v>2.97</v>
      </c>
      <c r="H494" s="487"/>
    </row>
    <row r="495" spans="1:8" s="65" customFormat="1" ht="12.65" customHeight="1" x14ac:dyDescent="0.3">
      <c r="A495" s="92"/>
      <c r="B495" s="10"/>
      <c r="C495" s="10" t="s">
        <v>54</v>
      </c>
      <c r="D495" s="93">
        <f>500*E491/1000</f>
        <v>10</v>
      </c>
      <c r="E495" s="93">
        <f>500*E491/1000</f>
        <v>10</v>
      </c>
      <c r="F495" s="93">
        <f>500*G491/1000</f>
        <v>13.5</v>
      </c>
      <c r="G495" s="94">
        <f>500*G491/1000</f>
        <v>13.5</v>
      </c>
      <c r="H495" s="487"/>
    </row>
    <row r="496" spans="1:8" s="65" customFormat="1" ht="12.65" customHeight="1" x14ac:dyDescent="0.3">
      <c r="A496" s="92"/>
      <c r="B496" s="10"/>
      <c r="C496" s="10" t="s">
        <v>56</v>
      </c>
      <c r="D496" s="93">
        <f>8*E491/1000</f>
        <v>0.16</v>
      </c>
      <c r="E496" s="93">
        <f>8*E491/1000</f>
        <v>0.16</v>
      </c>
      <c r="F496" s="93">
        <f>8*G491/1000</f>
        <v>0.216</v>
      </c>
      <c r="G496" s="94">
        <f>8*G491/1000</f>
        <v>0.216</v>
      </c>
      <c r="H496" s="487"/>
    </row>
    <row r="497" spans="1:16" s="65" customFormat="1" ht="12.65" customHeight="1" x14ac:dyDescent="0.3">
      <c r="A497" s="11">
        <v>382</v>
      </c>
      <c r="B497" s="10" t="s">
        <v>407</v>
      </c>
      <c r="C497" s="19" t="s">
        <v>47</v>
      </c>
      <c r="D497" s="93">
        <f>300*150/1000</f>
        <v>45</v>
      </c>
      <c r="E497" s="93">
        <f>300*150/1000</f>
        <v>45</v>
      </c>
      <c r="F497" s="93">
        <f>300*180/1000</f>
        <v>54</v>
      </c>
      <c r="G497" s="94">
        <f>300*180/1000</f>
        <v>54</v>
      </c>
      <c r="H497" s="487"/>
    </row>
    <row r="498" spans="1:16" s="65" customFormat="1" ht="12.65" customHeight="1" x14ac:dyDescent="0.3">
      <c r="A498" s="139"/>
      <c r="B498" s="10"/>
      <c r="C498" s="19" t="s">
        <v>54</v>
      </c>
      <c r="D498" s="93">
        <f>700*150/1000</f>
        <v>105</v>
      </c>
      <c r="E498" s="93">
        <f>700*150/1000</f>
        <v>105</v>
      </c>
      <c r="F498" s="93">
        <f>700*180/1000</f>
        <v>126</v>
      </c>
      <c r="G498" s="94">
        <f>700*180/1000</f>
        <v>126</v>
      </c>
      <c r="H498" s="487"/>
      <c r="I498" s="487"/>
      <c r="J498" s="487"/>
      <c r="K498" s="487"/>
      <c r="L498" s="487"/>
      <c r="M498" s="487"/>
      <c r="N498" s="487"/>
      <c r="O498" s="487"/>
      <c r="P498" s="487"/>
    </row>
    <row r="499" spans="1:16" s="65" customFormat="1" ht="12.65" customHeight="1" x14ac:dyDescent="0.3">
      <c r="A499" s="92"/>
      <c r="B499" s="10" t="s">
        <v>59</v>
      </c>
      <c r="C499" s="19" t="s">
        <v>55</v>
      </c>
      <c r="D499" s="93">
        <f>120*150/1000</f>
        <v>18</v>
      </c>
      <c r="E499" s="93">
        <f>120*150/1000</f>
        <v>18</v>
      </c>
      <c r="F499" s="93">
        <f>120*180/1000</f>
        <v>21.6</v>
      </c>
      <c r="G499" s="94">
        <f>120*180/1000</f>
        <v>21.6</v>
      </c>
      <c r="H499" s="487"/>
      <c r="I499" s="487"/>
      <c r="J499" s="487"/>
      <c r="K499" s="487"/>
      <c r="L499" s="487"/>
      <c r="M499" s="487"/>
      <c r="N499" s="487"/>
      <c r="O499" s="487"/>
      <c r="P499" s="487"/>
    </row>
    <row r="500" spans="1:16" s="65" customFormat="1" ht="12.65" customHeight="1" x14ac:dyDescent="0.3">
      <c r="A500" s="92"/>
      <c r="B500" s="10"/>
      <c r="C500" s="19" t="s">
        <v>125</v>
      </c>
      <c r="D500" s="93">
        <f>50*150/1000</f>
        <v>7.5</v>
      </c>
      <c r="E500" s="93">
        <f>50*150/1000</f>
        <v>7.5</v>
      </c>
      <c r="F500" s="93">
        <f>50*180/1000</f>
        <v>9</v>
      </c>
      <c r="G500" s="94">
        <f>50*180/1000</f>
        <v>9</v>
      </c>
      <c r="H500" s="487"/>
      <c r="I500" s="487"/>
      <c r="J500" s="487"/>
      <c r="K500" s="487"/>
      <c r="L500" s="487"/>
      <c r="M500" s="487"/>
      <c r="N500" s="487"/>
      <c r="O500" s="487"/>
      <c r="P500" s="487"/>
    </row>
    <row r="501" spans="1:16" s="65" customFormat="1" ht="12.65" customHeight="1" x14ac:dyDescent="0.3">
      <c r="A501" s="92">
        <v>1</v>
      </c>
      <c r="B501" s="10" t="s">
        <v>72</v>
      </c>
      <c r="C501" s="10" t="s">
        <v>48</v>
      </c>
      <c r="D501" s="93">
        <v>20</v>
      </c>
      <c r="E501" s="93">
        <v>20</v>
      </c>
      <c r="F501" s="93">
        <v>25</v>
      </c>
      <c r="G501" s="94">
        <v>25</v>
      </c>
      <c r="H501" s="487"/>
      <c r="I501" s="487"/>
      <c r="J501" s="487"/>
      <c r="K501" s="487"/>
      <c r="L501" s="487"/>
      <c r="M501" s="487"/>
      <c r="N501" s="487"/>
      <c r="O501" s="487"/>
      <c r="P501" s="487"/>
    </row>
    <row r="502" spans="1:16" s="65" customFormat="1" ht="12.65" customHeight="1" thickBot="1" x14ac:dyDescent="0.35">
      <c r="A502" s="28">
        <v>1</v>
      </c>
      <c r="B502" s="12" t="s">
        <v>107</v>
      </c>
      <c r="C502" s="12" t="s">
        <v>106</v>
      </c>
      <c r="D502" s="63">
        <v>17</v>
      </c>
      <c r="E502" s="63">
        <v>17</v>
      </c>
      <c r="F502" s="63">
        <v>21</v>
      </c>
      <c r="G502" s="184">
        <v>21</v>
      </c>
      <c r="H502" s="487"/>
      <c r="I502" s="487"/>
      <c r="J502" s="487"/>
      <c r="K502" s="487"/>
      <c r="L502" s="487"/>
      <c r="M502" s="487"/>
      <c r="N502" s="487"/>
      <c r="O502" s="487"/>
      <c r="P502" s="487"/>
    </row>
    <row r="503" spans="1:16" s="65" customFormat="1" ht="12.65" customHeight="1" x14ac:dyDescent="0.3">
      <c r="A503" s="629" t="s">
        <v>531</v>
      </c>
      <c r="B503" s="16" t="s">
        <v>408</v>
      </c>
      <c r="C503" s="16" t="s">
        <v>92</v>
      </c>
      <c r="D503" s="568">
        <f>837*57/1000</f>
        <v>47.709000000000003</v>
      </c>
      <c r="E503" s="568">
        <f>820*57/1000</f>
        <v>46.74</v>
      </c>
      <c r="F503" s="568">
        <f>837*95/1000</f>
        <v>79.515000000000001</v>
      </c>
      <c r="G503" s="569">
        <f>820*95/1000</f>
        <v>77.900000000000006</v>
      </c>
      <c r="H503" s="487"/>
      <c r="I503" s="487"/>
      <c r="J503" s="487"/>
      <c r="K503" s="487"/>
      <c r="L503" s="487"/>
      <c r="M503" s="487"/>
      <c r="N503" s="487"/>
      <c r="O503" s="487"/>
      <c r="P503" s="487"/>
    </row>
    <row r="504" spans="1:16" s="65" customFormat="1" ht="12.65" customHeight="1" x14ac:dyDescent="0.3">
      <c r="A504" s="92"/>
      <c r="B504" s="19" t="s">
        <v>532</v>
      </c>
      <c r="C504" s="10" t="s">
        <v>66</v>
      </c>
      <c r="D504" s="93">
        <f>115*57/1000</f>
        <v>6.5549999999999997</v>
      </c>
      <c r="E504" s="93">
        <f>115*57/1000</f>
        <v>6.5549999999999997</v>
      </c>
      <c r="F504" s="93">
        <f>115*95/1000</f>
        <v>10.925000000000001</v>
      </c>
      <c r="G504" s="94">
        <f>115*95/1000</f>
        <v>10.925000000000001</v>
      </c>
      <c r="H504" s="487"/>
      <c r="I504" s="487"/>
      <c r="J504" s="487"/>
      <c r="K504" s="487"/>
      <c r="L504" s="487"/>
      <c r="M504" s="487"/>
      <c r="N504" s="487"/>
      <c r="O504" s="487"/>
      <c r="P504" s="487"/>
    </row>
    <row r="505" spans="1:16" s="65" customFormat="1" ht="12.65" customHeight="1" x14ac:dyDescent="0.3">
      <c r="A505" s="92"/>
      <c r="B505" s="19"/>
      <c r="C505" s="10" t="s">
        <v>55</v>
      </c>
      <c r="D505" s="93">
        <f>60*57/1000</f>
        <v>3.42</v>
      </c>
      <c r="E505" s="93">
        <f>60*57/1000</f>
        <v>3.42</v>
      </c>
      <c r="F505" s="93">
        <f>60*95/1000</f>
        <v>5.7</v>
      </c>
      <c r="G505" s="94">
        <v>5.7</v>
      </c>
      <c r="H505" s="487"/>
      <c r="I505" s="487"/>
      <c r="J505" s="487"/>
      <c r="K505" s="487"/>
      <c r="L505" s="487"/>
      <c r="M505" s="487"/>
      <c r="N505" s="487"/>
      <c r="O505" s="487"/>
      <c r="P505" s="487"/>
    </row>
    <row r="506" spans="1:16" s="65" customFormat="1" ht="12.65" customHeight="1" x14ac:dyDescent="0.3">
      <c r="A506" s="92"/>
      <c r="B506" s="10" t="s">
        <v>533</v>
      </c>
      <c r="C506" s="10" t="s">
        <v>121</v>
      </c>
      <c r="D506" s="93">
        <v>3.4</v>
      </c>
      <c r="E506" s="93">
        <v>3.4</v>
      </c>
      <c r="F506" s="93">
        <v>5.7</v>
      </c>
      <c r="G506" s="94">
        <v>5.7</v>
      </c>
      <c r="H506" s="487"/>
      <c r="I506" s="487"/>
      <c r="J506" s="487"/>
      <c r="K506" s="487"/>
      <c r="L506" s="487"/>
      <c r="M506" s="487"/>
      <c r="N506" s="487"/>
      <c r="O506" s="487"/>
      <c r="P506" s="487"/>
    </row>
    <row r="507" spans="1:16" s="65" customFormat="1" ht="12.65" customHeight="1" x14ac:dyDescent="0.3">
      <c r="A507" s="92"/>
      <c r="B507" s="10"/>
      <c r="C507" s="10" t="s">
        <v>56</v>
      </c>
      <c r="D507" s="93">
        <f>2.5*57/1000</f>
        <v>0.14249999999999999</v>
      </c>
      <c r="E507" s="93">
        <f>2.5*57/1000</f>
        <v>0.14249999999999999</v>
      </c>
      <c r="F507" s="93">
        <f>2.5*93/1000</f>
        <v>0.23250000000000001</v>
      </c>
      <c r="G507" s="94">
        <v>0.2</v>
      </c>
      <c r="H507" s="487"/>
      <c r="I507" s="487"/>
      <c r="J507" s="487"/>
      <c r="K507" s="487"/>
      <c r="L507" s="487"/>
      <c r="M507" s="487"/>
      <c r="N507" s="487"/>
      <c r="O507" s="487"/>
      <c r="P507" s="487"/>
    </row>
    <row r="508" spans="1:16" s="503" customFormat="1" ht="12.65" customHeight="1" x14ac:dyDescent="0.3">
      <c r="A508" s="92"/>
      <c r="B508" s="10"/>
      <c r="C508" s="10" t="s">
        <v>136</v>
      </c>
      <c r="D508" s="93">
        <v>5</v>
      </c>
      <c r="E508" s="93">
        <v>5</v>
      </c>
      <c r="F508" s="93">
        <v>5</v>
      </c>
      <c r="G508" s="94">
        <v>5</v>
      </c>
      <c r="H508" s="502"/>
      <c r="I508" s="502"/>
      <c r="J508" s="502"/>
      <c r="K508" s="502"/>
      <c r="L508" s="502"/>
      <c r="M508" s="502"/>
      <c r="N508" s="502"/>
      <c r="O508" s="502"/>
      <c r="P508" s="502"/>
    </row>
    <row r="509" spans="1:16" ht="16.899999999999999" customHeight="1" x14ac:dyDescent="0.3">
      <c r="A509" s="95">
        <v>392</v>
      </c>
      <c r="B509" s="125" t="s">
        <v>634</v>
      </c>
      <c r="C509" s="129" t="s">
        <v>55</v>
      </c>
      <c r="D509" s="589">
        <v>10</v>
      </c>
      <c r="E509" s="589">
        <v>10</v>
      </c>
      <c r="F509" s="589">
        <v>15</v>
      </c>
      <c r="G509" s="590">
        <v>15</v>
      </c>
    </row>
    <row r="510" spans="1:16" ht="42.65" customHeight="1" thickBot="1" x14ac:dyDescent="0.35">
      <c r="A510" s="13"/>
      <c r="B510" s="12"/>
      <c r="C510" s="12" t="s">
        <v>268</v>
      </c>
      <c r="D510" s="63">
        <v>0.2</v>
      </c>
      <c r="E510" s="63">
        <v>0.2</v>
      </c>
      <c r="F510" s="63">
        <v>0.3</v>
      </c>
      <c r="G510" s="184">
        <v>0.3</v>
      </c>
    </row>
    <row r="511" spans="1:16" s="65" customFormat="1" ht="39" hidden="1" customHeight="1" thickBot="1" x14ac:dyDescent="0.35">
      <c r="A511" s="28"/>
      <c r="B511" s="12" t="s">
        <v>17</v>
      </c>
      <c r="C511" s="12" t="s">
        <v>52</v>
      </c>
      <c r="D511" s="63">
        <v>17</v>
      </c>
      <c r="E511" s="63">
        <v>17</v>
      </c>
      <c r="F511" s="63">
        <v>21</v>
      </c>
      <c r="G511" s="184">
        <v>21</v>
      </c>
      <c r="H511" s="487"/>
      <c r="I511" s="487"/>
      <c r="J511" s="487"/>
      <c r="K511" s="487"/>
      <c r="L511" s="487"/>
      <c r="M511" s="487"/>
      <c r="N511" s="487"/>
      <c r="O511" s="487"/>
      <c r="P511" s="487"/>
    </row>
    <row r="512" spans="1:16" s="65" customFormat="1" ht="12.65" customHeight="1" thickBot="1" x14ac:dyDescent="0.35">
      <c r="A512" s="157"/>
      <c r="B512" s="881" t="s">
        <v>598</v>
      </c>
      <c r="C512" s="158"/>
      <c r="D512" s="877" t="s">
        <v>69</v>
      </c>
      <c r="E512" s="874"/>
      <c r="F512" s="873" t="s">
        <v>70</v>
      </c>
      <c r="G512" s="874"/>
      <c r="H512" s="487"/>
      <c r="I512" s="487"/>
      <c r="J512" s="487"/>
      <c r="K512" s="487"/>
      <c r="L512" s="487"/>
      <c r="M512" s="487"/>
      <c r="N512" s="487"/>
      <c r="O512" s="487"/>
      <c r="P512" s="487"/>
    </row>
    <row r="513" spans="1:16" s="65" customFormat="1" ht="12.65" customHeight="1" thickBot="1" x14ac:dyDescent="0.35">
      <c r="A513" s="159" t="s">
        <v>131</v>
      </c>
      <c r="B513" s="882"/>
      <c r="C513" s="160"/>
      <c r="D513" s="173" t="s">
        <v>91</v>
      </c>
      <c r="E513" s="174" t="s">
        <v>46</v>
      </c>
      <c r="F513" s="173" t="s">
        <v>91</v>
      </c>
      <c r="G513" s="174" t="s">
        <v>46</v>
      </c>
      <c r="H513" s="487"/>
      <c r="I513" s="487"/>
      <c r="J513" s="487"/>
      <c r="K513" s="487"/>
      <c r="L513" s="487"/>
      <c r="M513" s="487"/>
      <c r="N513" s="487"/>
      <c r="O513" s="487"/>
      <c r="P513" s="487"/>
    </row>
    <row r="514" spans="1:16" s="65" customFormat="1" ht="12.65" customHeight="1" x14ac:dyDescent="0.3">
      <c r="A514" s="591">
        <v>168</v>
      </c>
      <c r="B514" s="16" t="s">
        <v>335</v>
      </c>
      <c r="C514" s="16" t="s">
        <v>51</v>
      </c>
      <c r="D514" s="660">
        <f>820*130/1000</f>
        <v>106.6</v>
      </c>
      <c r="E514" s="660">
        <f>820*130/1000</f>
        <v>106.6</v>
      </c>
      <c r="F514" s="660">
        <f>820*150/1000</f>
        <v>123</v>
      </c>
      <c r="G514" s="661">
        <f>820*150/1000</f>
        <v>123</v>
      </c>
      <c r="H514" s="487"/>
      <c r="I514" s="487"/>
      <c r="J514" s="487"/>
      <c r="K514" s="487"/>
      <c r="L514" s="487"/>
      <c r="M514" s="487"/>
      <c r="N514" s="487"/>
      <c r="O514" s="487"/>
      <c r="P514" s="487"/>
    </row>
    <row r="515" spans="1:16" s="65" customFormat="1" ht="12.65" customHeight="1" x14ac:dyDescent="0.3">
      <c r="A515" s="92"/>
      <c r="B515" s="10"/>
      <c r="C515" s="10" t="s">
        <v>135</v>
      </c>
      <c r="D515" s="662">
        <f>D514*0.12</f>
        <v>12.791999999999998</v>
      </c>
      <c r="E515" s="662">
        <f>E514*0.12</f>
        <v>12.791999999999998</v>
      </c>
      <c r="F515" s="662">
        <f>F514*0.12</f>
        <v>14.76</v>
      </c>
      <c r="G515" s="663">
        <f>G514*0.12</f>
        <v>14.76</v>
      </c>
      <c r="H515" s="487"/>
      <c r="I515" s="487"/>
      <c r="J515" s="487"/>
      <c r="K515" s="487"/>
      <c r="L515" s="487"/>
      <c r="M515" s="487"/>
      <c r="N515" s="487"/>
      <c r="O515" s="487"/>
      <c r="P515" s="487"/>
    </row>
    <row r="516" spans="1:16" s="65" customFormat="1" ht="12.65" customHeight="1" x14ac:dyDescent="0.3">
      <c r="A516" s="92" t="s">
        <v>1</v>
      </c>
      <c r="B516" s="10"/>
      <c r="C516" s="10" t="s">
        <v>221</v>
      </c>
      <c r="D516" s="662">
        <f>880*130/1000-14.8</f>
        <v>99.600000000000009</v>
      </c>
      <c r="E516" s="662">
        <f>880*130/1000-14.8</f>
        <v>99.600000000000009</v>
      </c>
      <c r="F516" s="662">
        <f>880*150/1000-19.7</f>
        <v>112.3</v>
      </c>
      <c r="G516" s="663">
        <f>880*150/1000-19.7</f>
        <v>112.3</v>
      </c>
      <c r="H516" s="487"/>
      <c r="I516" s="487"/>
      <c r="J516" s="487"/>
      <c r="K516" s="487"/>
      <c r="L516" s="487"/>
      <c r="M516" s="487"/>
      <c r="N516" s="487"/>
      <c r="O516" s="487"/>
      <c r="P516" s="487"/>
    </row>
    <row r="517" spans="1:16" s="65" customFormat="1" ht="12.65" customHeight="1" x14ac:dyDescent="0.3">
      <c r="A517" s="92"/>
      <c r="B517" s="665" t="s">
        <v>579</v>
      </c>
      <c r="C517" s="10" t="s">
        <v>169</v>
      </c>
      <c r="D517" s="662">
        <f>222*130/1000</f>
        <v>28.86</v>
      </c>
      <c r="E517" s="662">
        <f>222*130/1000</f>
        <v>28.86</v>
      </c>
      <c r="F517" s="662">
        <f>222*150/1000</f>
        <v>33.299999999999997</v>
      </c>
      <c r="G517" s="663">
        <f>222*150/1000</f>
        <v>33.299999999999997</v>
      </c>
      <c r="H517" s="487"/>
      <c r="I517" s="487"/>
      <c r="J517" s="487"/>
      <c r="K517" s="487"/>
      <c r="L517" s="487"/>
      <c r="M517" s="487"/>
      <c r="N517" s="487"/>
      <c r="O517" s="487"/>
      <c r="P517" s="487"/>
    </row>
    <row r="518" spans="1:16" s="65" customFormat="1" ht="12.65" customHeight="1" x14ac:dyDescent="0.3">
      <c r="A518" s="92"/>
      <c r="B518" s="10"/>
      <c r="C518" s="10" t="s">
        <v>55</v>
      </c>
      <c r="D518" s="662">
        <v>5</v>
      </c>
      <c r="E518" s="662">
        <v>5</v>
      </c>
      <c r="F518" s="662">
        <v>5</v>
      </c>
      <c r="G518" s="663">
        <v>5</v>
      </c>
      <c r="H518" s="487"/>
      <c r="I518" s="487"/>
      <c r="J518" s="487"/>
      <c r="K518" s="487"/>
      <c r="L518" s="487"/>
      <c r="M518" s="487"/>
      <c r="N518" s="487"/>
      <c r="O518" s="487"/>
      <c r="P518" s="487"/>
    </row>
    <row r="519" spans="1:16" s="65" customFormat="1" ht="12.65" customHeight="1" x14ac:dyDescent="0.3">
      <c r="A519" s="92"/>
      <c r="B519" s="10"/>
      <c r="C519" s="10" t="s">
        <v>57</v>
      </c>
      <c r="D519" s="662">
        <v>5</v>
      </c>
      <c r="E519" s="662">
        <v>5</v>
      </c>
      <c r="F519" s="662">
        <v>5</v>
      </c>
      <c r="G519" s="663">
        <v>5</v>
      </c>
      <c r="H519" s="487"/>
      <c r="I519" s="487"/>
      <c r="J519" s="487"/>
      <c r="K519" s="487"/>
      <c r="L519" s="487"/>
      <c r="M519" s="487"/>
      <c r="N519" s="487"/>
      <c r="O519" s="487"/>
      <c r="P519" s="487"/>
    </row>
    <row r="520" spans="1:16" s="65" customFormat="1" ht="12.65" customHeight="1" x14ac:dyDescent="0.3">
      <c r="A520" s="92"/>
      <c r="B520" s="10"/>
      <c r="C520" s="10" t="s">
        <v>56</v>
      </c>
      <c r="D520" s="662">
        <f>1.5*130/1000</f>
        <v>0.19500000000000001</v>
      </c>
      <c r="E520" s="662">
        <f>1.5*130/1000</f>
        <v>0.19500000000000001</v>
      </c>
      <c r="F520" s="662">
        <f>1.5*150/1000</f>
        <v>0.22500000000000001</v>
      </c>
      <c r="G520" s="663">
        <f>1.5*150/1000</f>
        <v>0.22500000000000001</v>
      </c>
      <c r="H520" s="487"/>
      <c r="I520" s="487"/>
      <c r="J520" s="487"/>
      <c r="K520" s="487"/>
      <c r="L520" s="487"/>
      <c r="M520" s="487"/>
      <c r="N520" s="487"/>
      <c r="O520" s="487"/>
      <c r="P520" s="487"/>
    </row>
    <row r="521" spans="1:16" s="65" customFormat="1" ht="12.65" customHeight="1" x14ac:dyDescent="0.3">
      <c r="A521" s="11">
        <v>2</v>
      </c>
      <c r="B521" s="10" t="s">
        <v>398</v>
      </c>
      <c r="C521" s="10" t="s">
        <v>284</v>
      </c>
      <c r="D521" s="93">
        <v>24</v>
      </c>
      <c r="E521" s="93">
        <v>24</v>
      </c>
      <c r="F521" s="93">
        <v>30</v>
      </c>
      <c r="G521" s="94">
        <v>30</v>
      </c>
      <c r="H521" s="487"/>
      <c r="I521" s="487"/>
      <c r="J521" s="487"/>
      <c r="K521" s="487"/>
      <c r="L521" s="487"/>
      <c r="M521" s="487"/>
      <c r="N521" s="487"/>
      <c r="O521" s="487"/>
      <c r="P521" s="487"/>
    </row>
    <row r="522" spans="1:16" s="65" customFormat="1" ht="12.65" customHeight="1" x14ac:dyDescent="0.3">
      <c r="A522" s="92"/>
      <c r="B522" s="10" t="s">
        <v>626</v>
      </c>
      <c r="C522" s="10"/>
      <c r="D522" s="93"/>
      <c r="E522" s="93"/>
      <c r="F522" s="93"/>
      <c r="G522" s="94"/>
      <c r="H522" s="487"/>
      <c r="I522" s="487"/>
      <c r="J522" s="487"/>
      <c r="K522" s="487"/>
      <c r="L522" s="487"/>
      <c r="M522" s="487"/>
      <c r="N522" s="487"/>
      <c r="O522" s="487"/>
      <c r="P522" s="487"/>
    </row>
    <row r="523" spans="1:16" ht="12.65" customHeight="1" x14ac:dyDescent="0.3">
      <c r="A523" s="92"/>
      <c r="B523" s="10"/>
      <c r="C523" s="10" t="s">
        <v>535</v>
      </c>
      <c r="D523" s="93">
        <v>0</v>
      </c>
      <c r="E523" s="93">
        <v>0</v>
      </c>
      <c r="F523" s="93">
        <v>10.199999999999999</v>
      </c>
      <c r="G523" s="94">
        <v>10</v>
      </c>
    </row>
    <row r="524" spans="1:16" ht="12.65" customHeight="1" x14ac:dyDescent="0.3">
      <c r="A524" s="11">
        <v>392</v>
      </c>
      <c r="B524" s="10" t="s">
        <v>400</v>
      </c>
      <c r="C524" s="10" t="s">
        <v>268</v>
      </c>
      <c r="D524" s="93">
        <v>0.2</v>
      </c>
      <c r="E524" s="93">
        <v>0.2</v>
      </c>
      <c r="F524" s="93">
        <v>0.3</v>
      </c>
      <c r="G524" s="94">
        <v>0.3</v>
      </c>
    </row>
    <row r="525" spans="1:16" ht="12.65" customHeight="1" thickBot="1" x14ac:dyDescent="0.35">
      <c r="A525" s="28"/>
      <c r="B525" s="12"/>
      <c r="C525" s="12" t="s">
        <v>54</v>
      </c>
      <c r="D525" s="63">
        <v>130</v>
      </c>
      <c r="E525" s="63">
        <v>130</v>
      </c>
      <c r="F525" s="63">
        <v>150</v>
      </c>
      <c r="G525" s="184">
        <v>150</v>
      </c>
    </row>
    <row r="526" spans="1:16" ht="12.65" customHeight="1" thickBot="1" x14ac:dyDescent="0.35">
      <c r="A526" s="11">
        <v>368</v>
      </c>
      <c r="B526" s="10" t="s">
        <v>148</v>
      </c>
      <c r="C526" s="19" t="s">
        <v>170</v>
      </c>
      <c r="D526" s="678">
        <v>109</v>
      </c>
      <c r="E526" s="678">
        <v>100</v>
      </c>
      <c r="F526" s="678">
        <v>114</v>
      </c>
      <c r="G526" s="679">
        <v>100</v>
      </c>
    </row>
    <row r="527" spans="1:16" ht="12.65" customHeight="1" x14ac:dyDescent="0.3">
      <c r="A527" s="558">
        <v>31</v>
      </c>
      <c r="B527" s="559" t="s">
        <v>290</v>
      </c>
      <c r="C527" s="16" t="s">
        <v>104</v>
      </c>
      <c r="D527" s="660">
        <f>1037*30/1000</f>
        <v>31.11</v>
      </c>
      <c r="E527" s="660">
        <f>810*30/1000</f>
        <v>24.3</v>
      </c>
      <c r="F527" s="660">
        <f>1037*50/1000</f>
        <v>51.85</v>
      </c>
      <c r="G527" s="661">
        <f>810*50/1000</f>
        <v>40.5</v>
      </c>
    </row>
    <row r="528" spans="1:16" ht="12.65" customHeight="1" x14ac:dyDescent="0.3">
      <c r="A528" s="92"/>
      <c r="B528" s="665" t="s">
        <v>580</v>
      </c>
      <c r="C528" s="10" t="s">
        <v>103</v>
      </c>
      <c r="D528" s="662">
        <f>50*30/1000</f>
        <v>1.5</v>
      </c>
      <c r="E528" s="662">
        <f>50*30/1000</f>
        <v>1.5</v>
      </c>
      <c r="F528" s="662">
        <f>50*50/1000</f>
        <v>2.5</v>
      </c>
      <c r="G528" s="663">
        <f>50*50/1000</f>
        <v>2.5</v>
      </c>
    </row>
    <row r="529" spans="1:7" ht="12.65" customHeight="1" x14ac:dyDescent="0.3">
      <c r="A529" s="92"/>
      <c r="B529" s="10"/>
      <c r="C529" s="10" t="s">
        <v>0</v>
      </c>
      <c r="D529" s="662">
        <f>165*30/1000</f>
        <v>4.95</v>
      </c>
      <c r="E529" s="662">
        <f>150*30/1000</f>
        <v>4.5</v>
      </c>
      <c r="F529" s="662">
        <f>165*50/1000</f>
        <v>8.25</v>
      </c>
      <c r="G529" s="663">
        <f>150*50/1000</f>
        <v>7.5</v>
      </c>
    </row>
    <row r="530" spans="1:7" ht="12.65" customHeight="1" x14ac:dyDescent="0.3">
      <c r="A530" s="139">
        <v>81</v>
      </c>
      <c r="B530" s="10" t="s">
        <v>214</v>
      </c>
      <c r="C530" s="10" t="s">
        <v>163</v>
      </c>
      <c r="D530" s="662">
        <f>E530*1.33</f>
        <v>39.900000000000006</v>
      </c>
      <c r="E530" s="662">
        <f>200*150/1000</f>
        <v>30</v>
      </c>
      <c r="F530" s="662">
        <f>G530*1.33</f>
        <v>47.88</v>
      </c>
      <c r="G530" s="663">
        <f>200*180/1000</f>
        <v>36</v>
      </c>
    </row>
    <row r="531" spans="1:7" ht="12.65" customHeight="1" x14ac:dyDescent="0.3">
      <c r="A531" s="92"/>
      <c r="B531" s="10"/>
      <c r="C531" s="10" t="s">
        <v>164</v>
      </c>
      <c r="D531" s="662">
        <f>E531*1.43</f>
        <v>42.9</v>
      </c>
      <c r="E531" s="662">
        <f>200*150/1000</f>
        <v>30</v>
      </c>
      <c r="F531" s="662">
        <f>G531*1.43</f>
        <v>51.48</v>
      </c>
      <c r="G531" s="663">
        <f>200*180/1000</f>
        <v>36</v>
      </c>
    </row>
    <row r="532" spans="1:7" ht="12.65" customHeight="1" x14ac:dyDescent="0.3">
      <c r="A532" s="92"/>
      <c r="B532" s="665" t="s">
        <v>599</v>
      </c>
      <c r="C532" s="10" t="s">
        <v>165</v>
      </c>
      <c r="D532" s="662">
        <f>E532*1.54</f>
        <v>46.2</v>
      </c>
      <c r="E532" s="662">
        <f>200*150/1000</f>
        <v>30</v>
      </c>
      <c r="F532" s="662">
        <f>G532*1.54</f>
        <v>55.44</v>
      </c>
      <c r="G532" s="663">
        <f>200*180/1000</f>
        <v>36</v>
      </c>
    </row>
    <row r="533" spans="1:7" ht="12.65" customHeight="1" x14ac:dyDescent="0.3">
      <c r="A533" s="92"/>
      <c r="B533" s="10"/>
      <c r="C533" s="10" t="s">
        <v>166</v>
      </c>
      <c r="D533" s="662">
        <f>E533*1.67</f>
        <v>50.099999999999994</v>
      </c>
      <c r="E533" s="662">
        <f>200*150/1000</f>
        <v>30</v>
      </c>
      <c r="F533" s="662">
        <f>G533*1.67</f>
        <v>60.12</v>
      </c>
      <c r="G533" s="663">
        <f>200*180/1000</f>
        <v>36</v>
      </c>
    </row>
    <row r="534" spans="1:7" ht="12.65" customHeight="1" x14ac:dyDescent="0.3">
      <c r="A534" s="92"/>
      <c r="B534" s="10"/>
      <c r="C534" s="10" t="s">
        <v>231</v>
      </c>
      <c r="D534" s="662">
        <f>81*150/1000</f>
        <v>12.15</v>
      </c>
      <c r="E534" s="662">
        <f>80*150/1000</f>
        <v>12</v>
      </c>
      <c r="F534" s="662">
        <f>81*180/1000</f>
        <v>14.58</v>
      </c>
      <c r="G534" s="663">
        <f>80*180/1000</f>
        <v>14.4</v>
      </c>
    </row>
    <row r="535" spans="1:7" ht="12.65" customHeight="1" x14ac:dyDescent="0.3">
      <c r="A535" s="92"/>
      <c r="B535" s="10"/>
      <c r="C535" s="10" t="s">
        <v>60</v>
      </c>
      <c r="D535" s="662">
        <f>48*150/1000</f>
        <v>7.2</v>
      </c>
      <c r="E535" s="662">
        <f>40*150/1000</f>
        <v>6</v>
      </c>
      <c r="F535" s="662">
        <f>48*180/1000</f>
        <v>8.64</v>
      </c>
      <c r="G535" s="663">
        <f>40*180/1000</f>
        <v>7.2</v>
      </c>
    </row>
    <row r="536" spans="1:7" ht="12.65" customHeight="1" x14ac:dyDescent="0.3">
      <c r="A536" s="92"/>
      <c r="B536" s="10"/>
      <c r="C536" s="10" t="s">
        <v>103</v>
      </c>
      <c r="D536" s="662">
        <f>20*150/1000</f>
        <v>3</v>
      </c>
      <c r="E536" s="662">
        <f>20*150/1000</f>
        <v>3</v>
      </c>
      <c r="F536" s="662">
        <f>20*180/1000</f>
        <v>3.6</v>
      </c>
      <c r="G536" s="663">
        <f>20*180/1000</f>
        <v>3.6</v>
      </c>
    </row>
    <row r="537" spans="1:7" ht="12.65" customHeight="1" x14ac:dyDescent="0.3">
      <c r="A537" s="92"/>
      <c r="B537" s="10"/>
      <c r="C537" s="19" t="s">
        <v>62</v>
      </c>
      <c r="D537" s="662">
        <f>64*150/1000</f>
        <v>9.6</v>
      </c>
      <c r="E537" s="662">
        <f>50*150/1000</f>
        <v>7.5</v>
      </c>
      <c r="F537" s="662">
        <f>64*180/1000</f>
        <v>11.52</v>
      </c>
      <c r="G537" s="663">
        <f>50*180/1000</f>
        <v>9</v>
      </c>
    </row>
    <row r="538" spans="1:7" ht="12.65" customHeight="1" x14ac:dyDescent="0.3">
      <c r="A538" s="92"/>
      <c r="B538" s="10"/>
      <c r="C538" s="148"/>
      <c r="D538" s="93"/>
      <c r="E538" s="93"/>
      <c r="F538" s="93"/>
      <c r="G538" s="94"/>
    </row>
    <row r="539" spans="1:7" ht="12.65" customHeight="1" x14ac:dyDescent="0.25">
      <c r="A539" s="620">
        <v>258</v>
      </c>
      <c r="B539" s="153" t="s">
        <v>127</v>
      </c>
      <c r="C539" s="153" t="s">
        <v>536</v>
      </c>
      <c r="D539" s="690">
        <f>54*70/60</f>
        <v>63</v>
      </c>
      <c r="E539" s="690">
        <f>51*70/60</f>
        <v>59.5</v>
      </c>
      <c r="F539" s="621">
        <v>72</v>
      </c>
      <c r="G539" s="622">
        <v>68</v>
      </c>
    </row>
    <row r="540" spans="1:7" ht="12.65" customHeight="1" x14ac:dyDescent="0.25">
      <c r="A540" s="152"/>
      <c r="B540" s="153" t="s">
        <v>600</v>
      </c>
      <c r="C540" s="153" t="s">
        <v>266</v>
      </c>
      <c r="D540" s="690">
        <f>182*E540/122</f>
        <v>63.401639344262293</v>
      </c>
      <c r="E540" s="690">
        <f>51*50/60</f>
        <v>42.5</v>
      </c>
      <c r="F540" s="621">
        <f>182*G540/122</f>
        <v>101.44262295081967</v>
      </c>
      <c r="G540" s="622">
        <v>68</v>
      </c>
    </row>
    <row r="541" spans="1:7" ht="12.65" customHeight="1" x14ac:dyDescent="0.25">
      <c r="A541" s="152"/>
      <c r="B541" s="153"/>
      <c r="C541" s="153" t="s">
        <v>235</v>
      </c>
      <c r="D541" s="690">
        <f>E541*1.54</f>
        <v>65.45</v>
      </c>
      <c r="E541" s="690">
        <f>51*50/60</f>
        <v>42.5</v>
      </c>
      <c r="F541" s="621">
        <f>G541*1.54</f>
        <v>104.72</v>
      </c>
      <c r="G541" s="622">
        <v>68</v>
      </c>
    </row>
    <row r="542" spans="1:7" ht="12.65" customHeight="1" x14ac:dyDescent="0.25">
      <c r="A542" s="152"/>
      <c r="B542" s="153"/>
      <c r="C542" s="153" t="s">
        <v>236</v>
      </c>
      <c r="D542" s="690">
        <f>152*E542/91</f>
        <v>70.989010989010993</v>
      </c>
      <c r="E542" s="690">
        <f>51*50/60</f>
        <v>42.5</v>
      </c>
      <c r="F542" s="621">
        <f>152*G542/91</f>
        <v>113.58241758241758</v>
      </c>
      <c r="G542" s="622">
        <v>68</v>
      </c>
    </row>
    <row r="543" spans="1:7" ht="12.65" customHeight="1" x14ac:dyDescent="0.25">
      <c r="A543" s="152"/>
      <c r="B543" s="153"/>
      <c r="C543" s="153" t="s">
        <v>60</v>
      </c>
      <c r="D543" s="690">
        <v>12</v>
      </c>
      <c r="E543" s="690">
        <v>10</v>
      </c>
      <c r="F543" s="621">
        <v>16</v>
      </c>
      <c r="G543" s="622">
        <v>13</v>
      </c>
    </row>
    <row r="544" spans="1:7" ht="12.65" customHeight="1" x14ac:dyDescent="0.25">
      <c r="A544" s="152"/>
      <c r="B544" s="153"/>
      <c r="C544" s="153" t="s">
        <v>171</v>
      </c>
      <c r="D544" s="690">
        <v>3</v>
      </c>
      <c r="E544" s="690">
        <v>2</v>
      </c>
      <c r="F544" s="621">
        <v>4</v>
      </c>
      <c r="G544" s="622">
        <v>3</v>
      </c>
    </row>
    <row r="545" spans="1:7" ht="12.65" customHeight="1" x14ac:dyDescent="0.25">
      <c r="A545" s="152"/>
      <c r="B545" s="153" t="s">
        <v>601</v>
      </c>
      <c r="C545" s="153" t="s">
        <v>51</v>
      </c>
      <c r="D545" s="690">
        <v>5</v>
      </c>
      <c r="E545" s="690">
        <v>5</v>
      </c>
      <c r="F545" s="621">
        <v>6</v>
      </c>
      <c r="G545" s="622">
        <v>6</v>
      </c>
    </row>
    <row r="546" spans="1:7" ht="12.65" customHeight="1" x14ac:dyDescent="0.25">
      <c r="A546" s="152"/>
      <c r="B546" s="153"/>
      <c r="C546" s="153" t="s">
        <v>121</v>
      </c>
      <c r="D546" s="621">
        <f>10*200/1000</f>
        <v>2</v>
      </c>
      <c r="E546" s="621">
        <f>10*200/1000</f>
        <v>2</v>
      </c>
      <c r="F546" s="621">
        <v>3</v>
      </c>
      <c r="G546" s="622">
        <v>3</v>
      </c>
    </row>
    <row r="547" spans="1:7" ht="12.65" customHeight="1" x14ac:dyDescent="0.25">
      <c r="A547" s="152"/>
      <c r="B547" s="153"/>
      <c r="C547" s="634" t="s">
        <v>537</v>
      </c>
      <c r="D547" s="621">
        <f>E547*1.56</f>
        <v>9.1</v>
      </c>
      <c r="E547" s="621">
        <f>7*50/60</f>
        <v>5.833333333333333</v>
      </c>
      <c r="F547" s="621">
        <f>84*10/60</f>
        <v>14</v>
      </c>
      <c r="G547" s="622">
        <v>10</v>
      </c>
    </row>
    <row r="548" spans="1:7" ht="12.65" customHeight="1" x14ac:dyDescent="0.25">
      <c r="A548" s="152"/>
      <c r="B548" s="153"/>
      <c r="C548" s="634" t="s">
        <v>103</v>
      </c>
      <c r="D548" s="621">
        <v>2</v>
      </c>
      <c r="E548" s="621">
        <v>2</v>
      </c>
      <c r="F548" s="621">
        <v>3</v>
      </c>
      <c r="G548" s="622">
        <v>3</v>
      </c>
    </row>
    <row r="549" spans="1:7" ht="12.65" customHeight="1" x14ac:dyDescent="0.25">
      <c r="A549" s="152"/>
      <c r="B549" s="153"/>
      <c r="C549" s="634" t="s">
        <v>194</v>
      </c>
      <c r="D549" s="621">
        <v>5</v>
      </c>
      <c r="E549" s="621">
        <v>5</v>
      </c>
      <c r="F549" s="621">
        <v>5</v>
      </c>
      <c r="G549" s="622">
        <v>5</v>
      </c>
    </row>
    <row r="550" spans="1:7" ht="12.65" customHeight="1" x14ac:dyDescent="0.3">
      <c r="A550" s="11">
        <v>125</v>
      </c>
      <c r="B550" s="10" t="s">
        <v>413</v>
      </c>
      <c r="C550" s="153" t="s">
        <v>163</v>
      </c>
      <c r="D550" s="621">
        <f>E550*1.33</f>
        <v>139.65</v>
      </c>
      <c r="E550" s="621">
        <v>105</v>
      </c>
      <c r="F550" s="621">
        <f>G550*1.33</f>
        <v>180.96866666666668</v>
      </c>
      <c r="G550" s="622">
        <f>157*130/150</f>
        <v>136.06666666666666</v>
      </c>
    </row>
    <row r="551" spans="1:7" ht="12.65" customHeight="1" x14ac:dyDescent="0.3">
      <c r="A551" s="92"/>
      <c r="B551" s="10" t="s">
        <v>561</v>
      </c>
      <c r="C551" s="153" t="s">
        <v>164</v>
      </c>
      <c r="D551" s="621">
        <f>E551*1.43</f>
        <v>150.15</v>
      </c>
      <c r="E551" s="621">
        <v>105</v>
      </c>
      <c r="F551" s="621">
        <f>G551*1.43</f>
        <v>194.57533333333333</v>
      </c>
      <c r="G551" s="622">
        <f>157*130/150</f>
        <v>136.06666666666666</v>
      </c>
    </row>
    <row r="552" spans="1:7" ht="12.65" customHeight="1" x14ac:dyDescent="0.3">
      <c r="A552" s="92"/>
      <c r="B552" s="10"/>
      <c r="C552" s="153" t="s">
        <v>165</v>
      </c>
      <c r="D552" s="621">
        <f>E552*1.54</f>
        <v>161.70000000000002</v>
      </c>
      <c r="E552" s="621">
        <v>105</v>
      </c>
      <c r="F552" s="621">
        <f>G552*1.54</f>
        <v>209.54266666666666</v>
      </c>
      <c r="G552" s="622">
        <f>157*130/150</f>
        <v>136.06666666666666</v>
      </c>
    </row>
    <row r="553" spans="1:7" ht="12.65" customHeight="1" x14ac:dyDescent="0.3">
      <c r="A553" s="92"/>
      <c r="B553" s="10"/>
      <c r="C553" s="153" t="s">
        <v>166</v>
      </c>
      <c r="D553" s="621">
        <f>E553*1.67</f>
        <v>175.35</v>
      </c>
      <c r="E553" s="621">
        <v>105</v>
      </c>
      <c r="F553" s="621">
        <f>G553*1.67</f>
        <v>227.23133333333331</v>
      </c>
      <c r="G553" s="622">
        <f>157*130/150</f>
        <v>136.06666666666666</v>
      </c>
    </row>
    <row r="554" spans="1:7" ht="12.65" customHeight="1" x14ac:dyDescent="0.3">
      <c r="A554" s="92"/>
      <c r="B554" s="10"/>
      <c r="C554" s="10" t="s">
        <v>136</v>
      </c>
      <c r="D554" s="93">
        <v>5</v>
      </c>
      <c r="E554" s="93">
        <v>5</v>
      </c>
      <c r="F554" s="93">
        <v>5</v>
      </c>
      <c r="G554" s="94">
        <v>5</v>
      </c>
    </row>
    <row r="555" spans="1:7" ht="12.65" customHeight="1" x14ac:dyDescent="0.3">
      <c r="A555" s="11">
        <v>372</v>
      </c>
      <c r="B555" s="10" t="s">
        <v>414</v>
      </c>
      <c r="C555" s="10" t="s">
        <v>172</v>
      </c>
      <c r="D555" s="93">
        <f>227*150/1000</f>
        <v>34.049999999999997</v>
      </c>
      <c r="E555" s="93">
        <f>200*150/1000</f>
        <v>30</v>
      </c>
      <c r="F555" s="93">
        <f>227*180/1000</f>
        <v>40.86</v>
      </c>
      <c r="G555" s="94">
        <f>200*180/1000</f>
        <v>36</v>
      </c>
    </row>
    <row r="556" spans="1:7" ht="12.65" customHeight="1" x14ac:dyDescent="0.3">
      <c r="A556" s="92"/>
      <c r="B556" s="10"/>
      <c r="C556" s="10" t="s">
        <v>55</v>
      </c>
      <c r="D556" s="93">
        <f>100*150/1000</f>
        <v>15</v>
      </c>
      <c r="E556" s="93">
        <f>100*150/1000</f>
        <v>15</v>
      </c>
      <c r="F556" s="93">
        <f>100*180/1000</f>
        <v>18</v>
      </c>
      <c r="G556" s="94">
        <f>100*180/1000</f>
        <v>18</v>
      </c>
    </row>
    <row r="557" spans="1:7" ht="12.65" customHeight="1" x14ac:dyDescent="0.3">
      <c r="A557" s="92"/>
      <c r="B557" s="10"/>
      <c r="C557" s="10" t="s">
        <v>54</v>
      </c>
      <c r="D557" s="93">
        <f>830*150/1000</f>
        <v>124.5</v>
      </c>
      <c r="E557" s="93">
        <f>830*150/1000</f>
        <v>124.5</v>
      </c>
      <c r="F557" s="93">
        <f>830*180/1000</f>
        <v>149.4</v>
      </c>
      <c r="G557" s="94">
        <f>830*180/1000</f>
        <v>149.4</v>
      </c>
    </row>
    <row r="558" spans="1:7" ht="12.65" customHeight="1" x14ac:dyDescent="0.3">
      <c r="A558" s="92">
        <v>1</v>
      </c>
      <c r="B558" s="10" t="s">
        <v>72</v>
      </c>
      <c r="C558" s="19" t="s">
        <v>48</v>
      </c>
      <c r="D558" s="93">
        <v>20</v>
      </c>
      <c r="E558" s="93">
        <v>20</v>
      </c>
      <c r="F558" s="93">
        <v>30</v>
      </c>
      <c r="G558" s="94">
        <v>30</v>
      </c>
    </row>
    <row r="559" spans="1:7" ht="12.65" customHeight="1" thickBot="1" x14ac:dyDescent="0.35">
      <c r="A559" s="28">
        <v>1</v>
      </c>
      <c r="B559" s="12" t="s">
        <v>17</v>
      </c>
      <c r="C559" s="124" t="s">
        <v>139</v>
      </c>
      <c r="D559" s="63">
        <v>17</v>
      </c>
      <c r="E559" s="63">
        <v>17</v>
      </c>
      <c r="F559" s="63">
        <v>21</v>
      </c>
      <c r="G559" s="184">
        <v>21</v>
      </c>
    </row>
    <row r="560" spans="1:7" ht="12.65" customHeight="1" x14ac:dyDescent="0.3">
      <c r="A560" s="509">
        <v>292</v>
      </c>
      <c r="B560" s="16" t="s">
        <v>415</v>
      </c>
      <c r="C560" s="116" t="s">
        <v>137</v>
      </c>
      <c r="D560" s="568">
        <f>E560*1.15</f>
        <v>63.249999999999993</v>
      </c>
      <c r="E560" s="568">
        <v>55</v>
      </c>
      <c r="F560" s="568">
        <f>G560*1.15</f>
        <v>82.8</v>
      </c>
      <c r="G560" s="569">
        <v>72</v>
      </c>
    </row>
    <row r="561" spans="1:16" ht="12.65" customHeight="1" x14ac:dyDescent="0.3">
      <c r="A561" s="92"/>
      <c r="B561" s="10" t="s">
        <v>538</v>
      </c>
      <c r="C561" s="10" t="s">
        <v>136</v>
      </c>
      <c r="D561" s="93">
        <v>3</v>
      </c>
      <c r="E561" s="93">
        <v>3</v>
      </c>
      <c r="F561" s="93">
        <v>4</v>
      </c>
      <c r="G561" s="94">
        <v>4</v>
      </c>
    </row>
    <row r="562" spans="1:16" ht="12.65" customHeight="1" x14ac:dyDescent="0.3">
      <c r="A562" s="92"/>
      <c r="B562" s="10"/>
      <c r="C562" s="19" t="s">
        <v>138</v>
      </c>
      <c r="D562" s="96">
        <v>33</v>
      </c>
      <c r="E562" s="96">
        <v>94</v>
      </c>
      <c r="F562" s="96">
        <v>44</v>
      </c>
      <c r="G562" s="587">
        <v>125</v>
      </c>
    </row>
    <row r="563" spans="1:16" ht="12.65" customHeight="1" x14ac:dyDescent="0.3">
      <c r="A563" s="92"/>
      <c r="B563" s="10"/>
      <c r="C563" s="19" t="s">
        <v>60</v>
      </c>
      <c r="D563" s="96">
        <v>13</v>
      </c>
      <c r="E563" s="96">
        <v>11</v>
      </c>
      <c r="F563" s="96">
        <v>17</v>
      </c>
      <c r="G563" s="587">
        <v>14</v>
      </c>
    </row>
    <row r="564" spans="1:16" ht="12.65" customHeight="1" x14ac:dyDescent="0.3">
      <c r="A564" s="92"/>
      <c r="B564" s="10"/>
      <c r="C564" s="19" t="s">
        <v>103</v>
      </c>
      <c r="D564" s="96">
        <v>2</v>
      </c>
      <c r="E564" s="96">
        <v>2</v>
      </c>
      <c r="F564" s="96">
        <v>3</v>
      </c>
      <c r="G564" s="587">
        <v>3</v>
      </c>
    </row>
    <row r="565" spans="1:16" ht="12.65" customHeight="1" x14ac:dyDescent="0.3">
      <c r="A565" s="92"/>
      <c r="B565" s="10" t="s">
        <v>539</v>
      </c>
      <c r="C565" s="10" t="s">
        <v>121</v>
      </c>
      <c r="D565" s="96">
        <v>4</v>
      </c>
      <c r="E565" s="96">
        <v>4</v>
      </c>
      <c r="F565" s="96">
        <v>5</v>
      </c>
      <c r="G565" s="587">
        <v>5</v>
      </c>
    </row>
    <row r="566" spans="1:16" ht="12.65" customHeight="1" x14ac:dyDescent="0.3">
      <c r="A566" s="139"/>
      <c r="B566" s="10"/>
      <c r="C566" s="148" t="s">
        <v>537</v>
      </c>
      <c r="D566" s="93">
        <v>3</v>
      </c>
      <c r="E566" s="93">
        <v>3</v>
      </c>
      <c r="F566" s="93">
        <v>4</v>
      </c>
      <c r="G566" s="94">
        <v>4</v>
      </c>
    </row>
    <row r="567" spans="1:16" ht="12.65" customHeight="1" x14ac:dyDescent="0.3">
      <c r="A567" s="92"/>
      <c r="B567" s="10"/>
      <c r="C567" s="10" t="s">
        <v>136</v>
      </c>
      <c r="D567" s="93">
        <v>5</v>
      </c>
      <c r="E567" s="93">
        <v>5</v>
      </c>
      <c r="F567" s="93">
        <v>5</v>
      </c>
      <c r="G567" s="94">
        <v>5</v>
      </c>
    </row>
    <row r="568" spans="1:16" ht="12.65" customHeight="1" x14ac:dyDescent="0.3">
      <c r="A568" s="11">
        <v>399</v>
      </c>
      <c r="B568" s="10" t="s">
        <v>84</v>
      </c>
      <c r="C568" s="10" t="s">
        <v>47</v>
      </c>
      <c r="D568" s="21">
        <v>200</v>
      </c>
      <c r="E568" s="93">
        <v>200</v>
      </c>
      <c r="F568" s="702">
        <v>180</v>
      </c>
      <c r="G568" s="663">
        <v>180</v>
      </c>
      <c r="O568"/>
      <c r="P568"/>
    </row>
    <row r="569" spans="1:16" ht="12.65" customHeight="1" x14ac:dyDescent="0.3">
      <c r="A569" s="11">
        <v>492</v>
      </c>
      <c r="B569" s="10" t="s">
        <v>416</v>
      </c>
      <c r="C569" s="10" t="s">
        <v>109</v>
      </c>
      <c r="D569" s="93">
        <v>26</v>
      </c>
      <c r="E569" s="93">
        <v>26</v>
      </c>
      <c r="F569" s="93">
        <v>26</v>
      </c>
      <c r="G569" s="94">
        <v>26</v>
      </c>
      <c r="O569"/>
      <c r="P569"/>
    </row>
    <row r="570" spans="1:16" ht="12.65" customHeight="1" x14ac:dyDescent="0.3">
      <c r="A570" s="11"/>
      <c r="B570" s="123">
        <v>50</v>
      </c>
      <c r="C570" s="10" t="s">
        <v>55</v>
      </c>
      <c r="D570" s="93">
        <v>8</v>
      </c>
      <c r="E570" s="93">
        <v>8</v>
      </c>
      <c r="F570" s="93">
        <v>8</v>
      </c>
      <c r="G570" s="94">
        <v>8</v>
      </c>
      <c r="O570"/>
      <c r="P570"/>
    </row>
    <row r="571" spans="1:16" ht="12.65" customHeight="1" x14ac:dyDescent="0.3">
      <c r="A571" s="11"/>
      <c r="B571" s="10"/>
      <c r="C571" s="10" t="s">
        <v>136</v>
      </c>
      <c r="D571" s="93">
        <v>7.5</v>
      </c>
      <c r="E571" s="93">
        <v>7.5</v>
      </c>
      <c r="F571" s="93">
        <v>7.5</v>
      </c>
      <c r="G571" s="94">
        <v>7.5</v>
      </c>
      <c r="O571"/>
      <c r="P571"/>
    </row>
    <row r="572" spans="1:16" ht="12.65" customHeight="1" x14ac:dyDescent="0.3">
      <c r="A572" s="11"/>
      <c r="B572" s="10"/>
      <c r="C572" s="10" t="s">
        <v>121</v>
      </c>
      <c r="D572" s="93">
        <v>8.4</v>
      </c>
      <c r="E572" s="93">
        <v>8.4</v>
      </c>
      <c r="F572" s="93">
        <v>8.4</v>
      </c>
      <c r="G572" s="94">
        <v>8.4</v>
      </c>
      <c r="O572"/>
      <c r="P572"/>
    </row>
    <row r="573" spans="1:16" ht="12.65" customHeight="1" x14ac:dyDescent="0.3">
      <c r="A573" s="11"/>
      <c r="B573" s="10"/>
      <c r="C573" s="10" t="s">
        <v>56</v>
      </c>
      <c r="D573" s="93">
        <f>10/100</f>
        <v>0.1</v>
      </c>
      <c r="E573" s="93">
        <f>10/100</f>
        <v>0.1</v>
      </c>
      <c r="F573" s="93">
        <f>10/100</f>
        <v>0.1</v>
      </c>
      <c r="G573" s="94">
        <f>10/100</f>
        <v>0.1</v>
      </c>
      <c r="O573"/>
      <c r="P573"/>
    </row>
    <row r="574" spans="1:16" ht="12.65" customHeight="1" x14ac:dyDescent="0.3">
      <c r="A574" s="11"/>
      <c r="B574" s="10"/>
      <c r="C574" s="10" t="s">
        <v>540</v>
      </c>
      <c r="D574" s="93">
        <f>21.85/100</f>
        <v>0.21850000000000003</v>
      </c>
      <c r="E574" s="93">
        <f>21.85/100</f>
        <v>0.21850000000000003</v>
      </c>
      <c r="F574" s="93">
        <f>21.85/100</f>
        <v>0.21850000000000003</v>
      </c>
      <c r="G574" s="94">
        <f>21.85/100</f>
        <v>0.21850000000000003</v>
      </c>
      <c r="O574"/>
      <c r="P574"/>
    </row>
    <row r="575" spans="1:16" ht="12.65" customHeight="1" x14ac:dyDescent="0.3">
      <c r="A575" s="11"/>
      <c r="B575" s="10"/>
      <c r="C575" s="10" t="s">
        <v>242</v>
      </c>
      <c r="D575" s="93">
        <v>9.18</v>
      </c>
      <c r="E575" s="93">
        <v>9.1809999999999992</v>
      </c>
      <c r="F575" s="93">
        <v>9.1809999999999992</v>
      </c>
      <c r="G575" s="94">
        <v>9.1809999999999992</v>
      </c>
      <c r="O575"/>
      <c r="P575"/>
    </row>
    <row r="576" spans="1:16" ht="12.65" customHeight="1" x14ac:dyDescent="0.3">
      <c r="A576" s="11"/>
      <c r="B576" s="10"/>
      <c r="C576" s="10" t="s">
        <v>541</v>
      </c>
      <c r="D576" s="93">
        <v>0</v>
      </c>
      <c r="E576" s="93">
        <v>0</v>
      </c>
      <c r="F576" s="93">
        <f>250/100</f>
        <v>2.5</v>
      </c>
      <c r="G576" s="94">
        <f>250/100</f>
        <v>2.5</v>
      </c>
      <c r="O576"/>
      <c r="P576"/>
    </row>
    <row r="577" spans="1:16" ht="12.65" customHeight="1" x14ac:dyDescent="0.3">
      <c r="A577" s="11"/>
      <c r="B577" s="10"/>
      <c r="C577" s="10" t="s">
        <v>519</v>
      </c>
      <c r="D577" s="93">
        <f>25/100</f>
        <v>0.25</v>
      </c>
      <c r="E577" s="93">
        <f>25/100</f>
        <v>0.25</v>
      </c>
      <c r="F577" s="93">
        <f>25/100</f>
        <v>0.25</v>
      </c>
      <c r="G577" s="94">
        <f>25/100</f>
        <v>0.25</v>
      </c>
      <c r="O577"/>
      <c r="P577"/>
    </row>
    <row r="578" spans="1:16" s="7" customFormat="1" ht="40.9" customHeight="1" thickBot="1" x14ac:dyDescent="0.35">
      <c r="A578" s="28"/>
      <c r="B578" s="12" t="s">
        <v>17</v>
      </c>
      <c r="C578" s="12" t="s">
        <v>17</v>
      </c>
      <c r="D578" s="63">
        <v>17</v>
      </c>
      <c r="E578" s="63">
        <v>17</v>
      </c>
      <c r="F578" s="63">
        <v>21</v>
      </c>
      <c r="G578" s="184">
        <v>21</v>
      </c>
      <c r="H578" s="182"/>
      <c r="I578" s="182"/>
      <c r="J578" s="182"/>
      <c r="K578" s="182"/>
      <c r="L578" s="182"/>
      <c r="M578" s="182"/>
      <c r="N578" s="182"/>
      <c r="O578" s="182"/>
      <c r="P578" s="182"/>
    </row>
    <row r="579" spans="1:16" s="7" customFormat="1" ht="10.75" customHeight="1" thickBot="1" x14ac:dyDescent="0.35">
      <c r="A579" s="290"/>
      <c r="B579" s="890" t="s">
        <v>602</v>
      </c>
      <c r="C579" s="156"/>
      <c r="D579" s="877" t="s">
        <v>69</v>
      </c>
      <c r="E579" s="874"/>
      <c r="F579" s="873" t="s">
        <v>70</v>
      </c>
      <c r="G579" s="874"/>
      <c r="H579" s="182"/>
      <c r="I579" s="182"/>
      <c r="J579" s="182"/>
      <c r="K579" s="182"/>
      <c r="L579" s="182"/>
      <c r="M579" s="182"/>
      <c r="N579" s="182"/>
      <c r="O579" s="182"/>
      <c r="P579" s="182"/>
    </row>
    <row r="580" spans="1:16" s="7" customFormat="1" ht="10.75" customHeight="1" thickBot="1" x14ac:dyDescent="0.35">
      <c r="A580" s="171"/>
      <c r="B580" s="891"/>
      <c r="C580" s="172"/>
      <c r="D580" s="173" t="s">
        <v>91</v>
      </c>
      <c r="E580" s="174" t="s">
        <v>46</v>
      </c>
      <c r="F580" s="173" t="s">
        <v>91</v>
      </c>
      <c r="G580" s="174" t="s">
        <v>46</v>
      </c>
      <c r="H580" s="182"/>
      <c r="I580" s="182"/>
      <c r="J580" s="182"/>
      <c r="K580" s="182"/>
      <c r="L580" s="182"/>
      <c r="M580" s="182"/>
      <c r="N580" s="182"/>
      <c r="O580" s="182"/>
      <c r="P580" s="182"/>
    </row>
    <row r="581" spans="1:16" s="7" customFormat="1" ht="10.75" customHeight="1" x14ac:dyDescent="0.3">
      <c r="A581" s="27">
        <v>237</v>
      </c>
      <c r="B581" s="16" t="s">
        <v>102</v>
      </c>
      <c r="C581" s="16" t="s">
        <v>92</v>
      </c>
      <c r="D581" s="568">
        <v>93.8</v>
      </c>
      <c r="E581" s="568">
        <v>92</v>
      </c>
      <c r="F581" s="568">
        <f>93.8*120/100</f>
        <v>112.56</v>
      </c>
      <c r="G581" s="569">
        <f>92*120/100</f>
        <v>110.4</v>
      </c>
      <c r="H581" s="182"/>
      <c r="I581" s="182"/>
      <c r="J581" s="182"/>
      <c r="K581" s="182"/>
      <c r="L581" s="182"/>
      <c r="M581" s="182"/>
      <c r="N581" s="182"/>
      <c r="O581" s="182"/>
      <c r="P581" s="182"/>
    </row>
    <row r="582" spans="1:16" s="7" customFormat="1" ht="10.75" customHeight="1" x14ac:dyDescent="0.3">
      <c r="A582" s="92" t="s">
        <v>133</v>
      </c>
      <c r="B582" s="10" t="s">
        <v>575</v>
      </c>
      <c r="C582" s="10" t="s">
        <v>93</v>
      </c>
      <c r="D582" s="93">
        <v>6</v>
      </c>
      <c r="E582" s="93">
        <v>6</v>
      </c>
      <c r="F582" s="93">
        <f>6*120/100</f>
        <v>7.2</v>
      </c>
      <c r="G582" s="93">
        <f>6*120/100</f>
        <v>7.2</v>
      </c>
      <c r="H582" s="182"/>
      <c r="I582" s="182"/>
      <c r="J582" s="182"/>
      <c r="K582" s="182"/>
      <c r="L582" s="182"/>
      <c r="M582" s="182"/>
      <c r="N582" s="182"/>
      <c r="O582" s="182"/>
      <c r="P582" s="182"/>
    </row>
    <row r="583" spans="1:16" s="7" customFormat="1" ht="10.75" customHeight="1" x14ac:dyDescent="0.3">
      <c r="A583" s="92"/>
      <c r="B583" s="10"/>
      <c r="C583" s="10" t="s">
        <v>55</v>
      </c>
      <c r="D583" s="93">
        <v>8</v>
      </c>
      <c r="E583" s="93">
        <v>8</v>
      </c>
      <c r="F583" s="93">
        <f>8*120/100</f>
        <v>9.6</v>
      </c>
      <c r="G583" s="93">
        <f>8*120/100</f>
        <v>9.6</v>
      </c>
      <c r="H583" s="182"/>
      <c r="I583" s="182"/>
      <c r="J583" s="182"/>
      <c r="K583" s="182"/>
      <c r="L583" s="182"/>
      <c r="M583" s="182"/>
      <c r="N583" s="182"/>
      <c r="O583" s="182"/>
      <c r="P583" s="182"/>
    </row>
    <row r="584" spans="1:16" s="7" customFormat="1" ht="10.75" customHeight="1" x14ac:dyDescent="0.3">
      <c r="A584" s="92"/>
      <c r="B584" s="10"/>
      <c r="C584" s="10" t="s">
        <v>94</v>
      </c>
      <c r="D584" s="93">
        <v>4</v>
      </c>
      <c r="E584" s="93">
        <v>4</v>
      </c>
      <c r="F584" s="93">
        <f>4*120/100</f>
        <v>4.8</v>
      </c>
      <c r="G584" s="93">
        <f>4*120/100</f>
        <v>4.8</v>
      </c>
      <c r="H584" s="182"/>
      <c r="I584" s="182"/>
      <c r="J584" s="182"/>
      <c r="K584" s="182"/>
      <c r="L584" s="182"/>
      <c r="M584" s="182"/>
      <c r="N584" s="182"/>
      <c r="O584" s="182"/>
      <c r="P584" s="182"/>
    </row>
    <row r="585" spans="1:16" s="7" customFormat="1" ht="10.75" customHeight="1" x14ac:dyDescent="0.3">
      <c r="A585" s="92"/>
      <c r="B585" s="10"/>
      <c r="C585" s="10" t="s">
        <v>57</v>
      </c>
      <c r="D585" s="93">
        <v>4</v>
      </c>
      <c r="E585" s="93">
        <v>4</v>
      </c>
      <c r="F585" s="93">
        <f>4*120/100</f>
        <v>4.8</v>
      </c>
      <c r="G585" s="93">
        <f>4*120/100</f>
        <v>4.8</v>
      </c>
      <c r="H585" s="182"/>
      <c r="I585" s="182"/>
      <c r="J585" s="182"/>
      <c r="K585" s="182"/>
      <c r="L585" s="182"/>
      <c r="M585" s="182"/>
      <c r="N585" s="182"/>
      <c r="O585" s="182"/>
      <c r="P585" s="182"/>
    </row>
    <row r="586" spans="1:16" s="7" customFormat="1" ht="10.75" customHeight="1" x14ac:dyDescent="0.3">
      <c r="A586" s="92"/>
      <c r="B586" s="10"/>
      <c r="C586" s="10" t="s">
        <v>95</v>
      </c>
      <c r="D586" s="93">
        <f>4*1.56</f>
        <v>6.24</v>
      </c>
      <c r="E586" s="93">
        <v>4</v>
      </c>
      <c r="F586" s="93">
        <f>4.8*1.56</f>
        <v>7.4879999999999995</v>
      </c>
      <c r="G586" s="94">
        <f>4*120/100</f>
        <v>4.8</v>
      </c>
      <c r="H586" s="182"/>
      <c r="I586" s="182"/>
      <c r="J586" s="182"/>
      <c r="K586" s="182"/>
      <c r="L586" s="182"/>
      <c r="M586" s="182"/>
      <c r="N586" s="182"/>
      <c r="O586" s="182"/>
      <c r="P586" s="182"/>
    </row>
    <row r="587" spans="1:16" s="7" customFormat="1" ht="10.75" customHeight="1" x14ac:dyDescent="0.3">
      <c r="A587" s="92"/>
      <c r="B587" s="10"/>
      <c r="C587" s="10" t="s">
        <v>65</v>
      </c>
      <c r="D587" s="93">
        <v>4</v>
      </c>
      <c r="E587" s="93">
        <v>4</v>
      </c>
      <c r="F587" s="93">
        <f>4*120/100</f>
        <v>4.8</v>
      </c>
      <c r="G587" s="93">
        <f>4*120/100</f>
        <v>4.8</v>
      </c>
      <c r="H587" s="182"/>
      <c r="I587" s="182"/>
      <c r="J587" s="182"/>
      <c r="K587" s="182"/>
      <c r="L587" s="182"/>
      <c r="M587" s="182"/>
      <c r="N587" s="182"/>
      <c r="O587" s="182"/>
      <c r="P587" s="182"/>
    </row>
    <row r="588" spans="1:16" s="7" customFormat="1" ht="10.75" customHeight="1" x14ac:dyDescent="0.3">
      <c r="A588" s="92"/>
      <c r="B588" s="10" t="s">
        <v>264</v>
      </c>
      <c r="C588" s="10" t="s">
        <v>172</v>
      </c>
      <c r="D588" s="93">
        <f>256*30/1000</f>
        <v>7.68</v>
      </c>
      <c r="E588" s="93">
        <f>225*30/1000</f>
        <v>6.75</v>
      </c>
      <c r="F588" s="93">
        <f>256*30/1000</f>
        <v>7.68</v>
      </c>
      <c r="G588" s="94">
        <f>225*30/1000</f>
        <v>6.75</v>
      </c>
      <c r="H588" s="182"/>
      <c r="I588" s="182"/>
      <c r="J588" s="182"/>
      <c r="K588" s="182"/>
      <c r="L588" s="182"/>
      <c r="M588" s="182"/>
      <c r="N588" s="182"/>
      <c r="O588" s="182"/>
      <c r="P588" s="182"/>
    </row>
    <row r="589" spans="1:16" s="7" customFormat="1" ht="10.75" customHeight="1" x14ac:dyDescent="0.3">
      <c r="A589" s="92" t="s">
        <v>133</v>
      </c>
      <c r="B589" s="10" t="s">
        <v>196</v>
      </c>
      <c r="C589" s="10" t="s">
        <v>55</v>
      </c>
      <c r="D589" s="93">
        <f>125*30/1000</f>
        <v>3.75</v>
      </c>
      <c r="E589" s="93">
        <f>125*30/1000</f>
        <v>3.75</v>
      </c>
      <c r="F589" s="93">
        <f>125*30/1000</f>
        <v>3.75</v>
      </c>
      <c r="G589" s="94">
        <f>125*30/1000</f>
        <v>3.75</v>
      </c>
      <c r="H589" s="182"/>
      <c r="I589" s="182"/>
      <c r="J589" s="182"/>
      <c r="K589" s="182"/>
      <c r="L589" s="182"/>
      <c r="M589" s="182"/>
      <c r="N589" s="182"/>
      <c r="O589" s="182"/>
      <c r="P589" s="182"/>
    </row>
    <row r="590" spans="1:16" s="7" customFormat="1" ht="10.75" customHeight="1" x14ac:dyDescent="0.3">
      <c r="A590" s="92"/>
      <c r="B590" s="10"/>
      <c r="C590" s="10" t="s">
        <v>125</v>
      </c>
      <c r="D590" s="93">
        <f>30*30/1000</f>
        <v>0.9</v>
      </c>
      <c r="E590" s="93">
        <f>30*30/1000</f>
        <v>0.9</v>
      </c>
      <c r="F590" s="93">
        <f>30*30/1000</f>
        <v>0.9</v>
      </c>
      <c r="G590" s="94">
        <f>30*30/1000</f>
        <v>0.9</v>
      </c>
      <c r="H590" s="182"/>
      <c r="I590" s="182"/>
      <c r="J590" s="182"/>
      <c r="K590" s="182"/>
      <c r="L590" s="182"/>
      <c r="M590" s="182"/>
      <c r="N590" s="182"/>
      <c r="O590" s="182"/>
      <c r="P590" s="182"/>
    </row>
    <row r="591" spans="1:16" s="7" customFormat="1" ht="10.75" customHeight="1" x14ac:dyDescent="0.3">
      <c r="A591" s="92"/>
      <c r="B591" s="10"/>
      <c r="C591" s="10" t="s">
        <v>232</v>
      </c>
      <c r="D591" s="122">
        <f>1*30/1000</f>
        <v>0.03</v>
      </c>
      <c r="E591" s="122">
        <f t="shared" ref="E591:G592" si="1">1*30/1000</f>
        <v>0.03</v>
      </c>
      <c r="F591" s="122">
        <f t="shared" si="1"/>
        <v>0.03</v>
      </c>
      <c r="G591" s="581">
        <f t="shared" si="1"/>
        <v>0.03</v>
      </c>
      <c r="H591" s="182"/>
      <c r="I591" s="182"/>
      <c r="J591" s="182"/>
      <c r="K591" s="182"/>
      <c r="L591" s="182"/>
      <c r="M591" s="182"/>
      <c r="N591" s="182"/>
      <c r="O591" s="182"/>
      <c r="P591" s="182"/>
    </row>
    <row r="592" spans="1:16" s="7" customFormat="1" ht="10.75" customHeight="1" x14ac:dyDescent="0.3">
      <c r="A592" s="92"/>
      <c r="B592" s="10"/>
      <c r="C592" s="10" t="s">
        <v>143</v>
      </c>
      <c r="D592" s="122">
        <f>1*30/1000</f>
        <v>0.03</v>
      </c>
      <c r="E592" s="122">
        <f t="shared" si="1"/>
        <v>0.03</v>
      </c>
      <c r="F592" s="122">
        <f t="shared" si="1"/>
        <v>0.03</v>
      </c>
      <c r="G592" s="581">
        <f t="shared" si="1"/>
        <v>0.03</v>
      </c>
      <c r="H592" s="182"/>
      <c r="I592" s="182"/>
      <c r="J592" s="182"/>
      <c r="K592" s="182"/>
      <c r="L592" s="182"/>
      <c r="M592" s="182"/>
      <c r="N592" s="182"/>
      <c r="O592" s="182"/>
      <c r="P592" s="182"/>
    </row>
    <row r="593" spans="1:16" s="7" customFormat="1" ht="10.75" customHeight="1" x14ac:dyDescent="0.3">
      <c r="A593" s="92"/>
      <c r="B593" s="10"/>
      <c r="C593" s="10" t="s">
        <v>54</v>
      </c>
      <c r="D593" s="93">
        <f>800*30/1000</f>
        <v>24</v>
      </c>
      <c r="E593" s="93">
        <f>800*30/1000</f>
        <v>24</v>
      </c>
      <c r="F593" s="93">
        <f>800*30/1000</f>
        <v>24</v>
      </c>
      <c r="G593" s="94">
        <f>800*30/1000</f>
        <v>24</v>
      </c>
      <c r="H593" s="182"/>
      <c r="I593" s="182"/>
      <c r="J593" s="182"/>
      <c r="K593" s="182"/>
      <c r="L593" s="182"/>
      <c r="M593" s="182"/>
      <c r="N593" s="182"/>
      <c r="O593" s="182"/>
      <c r="P593" s="182"/>
    </row>
    <row r="594" spans="1:16" s="7" customFormat="1" ht="12.65" customHeight="1" x14ac:dyDescent="0.3">
      <c r="A594" s="11">
        <v>1</v>
      </c>
      <c r="B594" s="10" t="s">
        <v>635</v>
      </c>
      <c r="C594" s="10" t="s">
        <v>284</v>
      </c>
      <c r="D594" s="93">
        <v>24</v>
      </c>
      <c r="E594" s="93">
        <v>24</v>
      </c>
      <c r="F594" s="93">
        <v>30</v>
      </c>
      <c r="G594" s="94">
        <v>30</v>
      </c>
      <c r="H594" s="182"/>
      <c r="I594" s="182"/>
      <c r="J594" s="182"/>
      <c r="K594" s="182"/>
      <c r="L594" s="182"/>
      <c r="M594" s="182"/>
      <c r="N594" s="182"/>
      <c r="O594" s="182"/>
      <c r="P594" s="182"/>
    </row>
    <row r="595" spans="1:16" s="7" customFormat="1" ht="10.75" customHeight="1" thickBot="1" x14ac:dyDescent="0.35">
      <c r="A595" s="13">
        <v>400</v>
      </c>
      <c r="B595" s="12" t="s">
        <v>390</v>
      </c>
      <c r="C595" s="124" t="s">
        <v>525</v>
      </c>
      <c r="D595" s="63">
        <v>160.69999999999999</v>
      </c>
      <c r="E595" s="63">
        <v>150</v>
      </c>
      <c r="F595" s="63">
        <v>190.7</v>
      </c>
      <c r="G595" s="184">
        <v>180</v>
      </c>
      <c r="H595" s="182"/>
      <c r="I595" s="182"/>
      <c r="J595" s="182"/>
      <c r="K595" s="182"/>
      <c r="L595" s="182"/>
      <c r="M595" s="182"/>
      <c r="N595" s="182"/>
      <c r="O595" s="182"/>
      <c r="P595" s="182"/>
    </row>
    <row r="596" spans="1:16" s="7" customFormat="1" ht="10.75" customHeight="1" thickBot="1" x14ac:dyDescent="0.35">
      <c r="A596" s="185">
        <v>401</v>
      </c>
      <c r="B596" s="48" t="s">
        <v>156</v>
      </c>
      <c r="C596" s="48" t="s">
        <v>156</v>
      </c>
      <c r="D596" s="666">
        <v>155</v>
      </c>
      <c r="E596" s="666">
        <v>150</v>
      </c>
      <c r="F596" s="186">
        <v>185</v>
      </c>
      <c r="G596" s="187">
        <v>180</v>
      </c>
      <c r="H596" s="182"/>
      <c r="I596" s="182"/>
      <c r="J596" s="182"/>
      <c r="K596" s="182"/>
      <c r="L596" s="182"/>
      <c r="M596" s="182"/>
      <c r="N596" s="182"/>
      <c r="O596" s="182"/>
      <c r="P596" s="182"/>
    </row>
    <row r="597" spans="1:16" s="7" customFormat="1" ht="10.75" customHeight="1" x14ac:dyDescent="0.3">
      <c r="A597" s="509">
        <v>10</v>
      </c>
      <c r="B597" s="16" t="s">
        <v>418</v>
      </c>
      <c r="C597" s="16" t="s">
        <v>542</v>
      </c>
      <c r="D597" s="660">
        <f>1462*30/1000</f>
        <v>43.86</v>
      </c>
      <c r="E597" s="660">
        <f>950*30/1000</f>
        <v>28.5</v>
      </c>
      <c r="F597" s="660">
        <f>1462*50/1000</f>
        <v>73.099999999999994</v>
      </c>
      <c r="G597" s="661">
        <f>950*50/1000</f>
        <v>47.5</v>
      </c>
      <c r="H597" s="182"/>
      <c r="I597" s="182"/>
      <c r="J597" s="182"/>
      <c r="K597" s="182"/>
      <c r="L597" s="182"/>
      <c r="M597" s="182"/>
      <c r="N597" s="182"/>
      <c r="O597" s="182"/>
      <c r="P597" s="182"/>
    </row>
    <row r="598" spans="1:16" s="7" customFormat="1" ht="10.75" customHeight="1" x14ac:dyDescent="0.3">
      <c r="A598" s="139"/>
      <c r="B598" s="665" t="s">
        <v>580</v>
      </c>
      <c r="C598" s="10" t="s">
        <v>103</v>
      </c>
      <c r="D598" s="662">
        <f>50*30/1000</f>
        <v>1.5</v>
      </c>
      <c r="E598" s="662">
        <f>50*30/1000</f>
        <v>1.5</v>
      </c>
      <c r="F598" s="662">
        <f>50*50/1000</f>
        <v>2.5</v>
      </c>
      <c r="G598" s="663">
        <f>50*50/1000</f>
        <v>2.5</v>
      </c>
      <c r="H598" s="182"/>
      <c r="I598" s="182"/>
      <c r="J598" s="182"/>
      <c r="K598" s="182"/>
      <c r="L598" s="182"/>
      <c r="M598" s="182"/>
      <c r="N598" s="182"/>
      <c r="O598" s="182"/>
      <c r="P598" s="182"/>
    </row>
    <row r="599" spans="1:16" s="7" customFormat="1" ht="10.75" customHeight="1" x14ac:dyDescent="0.3">
      <c r="A599" s="139"/>
      <c r="B599" s="10"/>
      <c r="C599" s="10" t="s">
        <v>517</v>
      </c>
      <c r="D599" s="662">
        <f>13.5*30/1000</f>
        <v>0.40500000000000003</v>
      </c>
      <c r="E599" s="662">
        <f>13.5*30/1000</f>
        <v>0.40500000000000003</v>
      </c>
      <c r="F599" s="662">
        <f>13.5*50/1000</f>
        <v>0.67500000000000004</v>
      </c>
      <c r="G599" s="663">
        <f>13.5*50/1000</f>
        <v>0.67500000000000004</v>
      </c>
      <c r="H599" s="182"/>
      <c r="I599" s="182"/>
      <c r="J599" s="182"/>
      <c r="K599" s="182"/>
      <c r="L599" s="182"/>
      <c r="M599" s="182"/>
      <c r="N599" s="182"/>
      <c r="O599" s="182"/>
      <c r="P599" s="182"/>
    </row>
    <row r="600" spans="1:16" s="7" customFormat="1" ht="10.75" customHeight="1" x14ac:dyDescent="0.3">
      <c r="A600" s="139">
        <v>86</v>
      </c>
      <c r="B600" s="10" t="s">
        <v>202</v>
      </c>
      <c r="C600" s="574" t="s">
        <v>233</v>
      </c>
      <c r="D600" s="680"/>
      <c r="E600" s="680">
        <f>80*150/1000</f>
        <v>12</v>
      </c>
      <c r="F600" s="680"/>
      <c r="G600" s="680">
        <f>80*180/1000</f>
        <v>14.4</v>
      </c>
      <c r="H600" s="182"/>
      <c r="I600" s="182"/>
      <c r="J600" s="182"/>
      <c r="K600" s="182"/>
      <c r="L600" s="182"/>
      <c r="M600" s="182"/>
      <c r="N600" s="182"/>
      <c r="O600" s="182"/>
      <c r="P600" s="182"/>
    </row>
    <row r="601" spans="1:16" s="7" customFormat="1" ht="10.75" customHeight="1" x14ac:dyDescent="0.3">
      <c r="A601" s="92"/>
      <c r="B601" s="10"/>
      <c r="C601" s="10" t="s">
        <v>109</v>
      </c>
      <c r="D601" s="678">
        <f>875*E600/1000</f>
        <v>10.5</v>
      </c>
      <c r="E601" s="662">
        <f>875*E600/1000</f>
        <v>10.5</v>
      </c>
      <c r="F601" s="678">
        <f>875*G600/1000</f>
        <v>12.6</v>
      </c>
      <c r="G601" s="663">
        <f>875*G600/1000</f>
        <v>12.6</v>
      </c>
      <c r="H601" s="182"/>
      <c r="I601" s="182"/>
      <c r="J601" s="182"/>
      <c r="K601" s="182"/>
      <c r="L601" s="182"/>
      <c r="M601" s="182"/>
      <c r="N601" s="182"/>
      <c r="O601" s="182"/>
      <c r="P601" s="182"/>
    </row>
    <row r="602" spans="1:16" s="7" customFormat="1" ht="10.75" customHeight="1" x14ac:dyDescent="0.3">
      <c r="A602" s="92"/>
      <c r="B602" s="10" t="s">
        <v>603</v>
      </c>
      <c r="C602" s="10" t="s">
        <v>153</v>
      </c>
      <c r="D602" s="662">
        <f>60*E600/1000</f>
        <v>0.72</v>
      </c>
      <c r="E602" s="662">
        <f>60*E600/1000</f>
        <v>0.72</v>
      </c>
      <c r="F602" s="662">
        <f>60*G600/1000</f>
        <v>0.86399999999999999</v>
      </c>
      <c r="G602" s="663">
        <f>60*G600/1000</f>
        <v>0.86399999999999999</v>
      </c>
      <c r="H602" s="182"/>
      <c r="I602" s="182"/>
      <c r="J602" s="182"/>
      <c r="K602" s="182"/>
      <c r="L602" s="182"/>
      <c r="M602" s="182"/>
      <c r="N602" s="182"/>
      <c r="O602" s="182"/>
      <c r="P602" s="182"/>
    </row>
    <row r="603" spans="1:16" s="7" customFormat="1" ht="10.75" customHeight="1" x14ac:dyDescent="0.3">
      <c r="A603" s="92"/>
      <c r="B603" s="10"/>
      <c r="C603" s="10" t="s">
        <v>121</v>
      </c>
      <c r="D603" s="662">
        <f>250*E600/1000</f>
        <v>3</v>
      </c>
      <c r="E603" s="662">
        <f>250*E600/1000</f>
        <v>3</v>
      </c>
      <c r="F603" s="662">
        <f>250*G600/1000</f>
        <v>3.6</v>
      </c>
      <c r="G603" s="663">
        <f>250*G600/1000</f>
        <v>3.6</v>
      </c>
      <c r="H603" s="182"/>
      <c r="I603" s="182"/>
      <c r="J603" s="182"/>
      <c r="K603" s="182"/>
      <c r="L603" s="182"/>
      <c r="M603" s="182"/>
      <c r="N603" s="182"/>
      <c r="O603" s="182"/>
      <c r="P603" s="182"/>
    </row>
    <row r="604" spans="1:16" s="7" customFormat="1" ht="10.75" customHeight="1" x14ac:dyDescent="0.3">
      <c r="A604" s="92"/>
      <c r="B604" s="10"/>
      <c r="C604" s="19" t="s">
        <v>54</v>
      </c>
      <c r="D604" s="662">
        <f>175*E600/1000</f>
        <v>2.1</v>
      </c>
      <c r="E604" s="662">
        <f>175*E600/1000</f>
        <v>2.1</v>
      </c>
      <c r="F604" s="662">
        <f>175*G600/1000</f>
        <v>2.52</v>
      </c>
      <c r="G604" s="663">
        <f>175*G600/1000</f>
        <v>2.52</v>
      </c>
      <c r="H604" s="182"/>
      <c r="I604" s="182"/>
      <c r="J604" s="182"/>
      <c r="K604" s="182"/>
      <c r="L604" s="182"/>
      <c r="M604" s="182"/>
      <c r="N604" s="182"/>
      <c r="O604" s="182"/>
      <c r="P604" s="182"/>
    </row>
    <row r="605" spans="1:16" s="7" customFormat="1" ht="10.75" customHeight="1" x14ac:dyDescent="0.3">
      <c r="A605" s="92"/>
      <c r="B605" s="10"/>
      <c r="C605" s="10" t="s">
        <v>56</v>
      </c>
      <c r="D605" s="662">
        <f>15*E600/1000</f>
        <v>0.18</v>
      </c>
      <c r="E605" s="662">
        <f>15*E600/1000</f>
        <v>0.18</v>
      </c>
      <c r="F605" s="662">
        <f>15*G600/1000</f>
        <v>0.216</v>
      </c>
      <c r="G605" s="663">
        <f>15*G600/1000</f>
        <v>0.216</v>
      </c>
      <c r="H605" s="182"/>
      <c r="I605" s="182"/>
      <c r="J605" s="182"/>
      <c r="K605" s="182"/>
      <c r="L605" s="182"/>
      <c r="M605" s="182"/>
      <c r="N605" s="182"/>
      <c r="O605" s="182"/>
      <c r="P605" s="182"/>
    </row>
    <row r="606" spans="1:16" s="7" customFormat="1" ht="10.75" customHeight="1" x14ac:dyDescent="0.3">
      <c r="A606" s="92"/>
      <c r="B606" s="10"/>
      <c r="C606" s="574" t="s">
        <v>234</v>
      </c>
      <c r="D606" s="680"/>
      <c r="E606" s="680">
        <f>200*150/1000</f>
        <v>30</v>
      </c>
      <c r="F606" s="680"/>
      <c r="G606" s="681">
        <f>200*180/1000</f>
        <v>36</v>
      </c>
      <c r="H606" s="182"/>
      <c r="I606" s="182"/>
      <c r="J606" s="182"/>
      <c r="K606" s="182"/>
      <c r="L606" s="182"/>
      <c r="M606" s="182"/>
      <c r="N606" s="182"/>
      <c r="O606" s="182"/>
      <c r="P606" s="182"/>
    </row>
    <row r="607" spans="1:16" s="7" customFormat="1" ht="10.75" customHeight="1" x14ac:dyDescent="0.3">
      <c r="A607" s="92"/>
      <c r="B607" s="10"/>
      <c r="C607" s="10" t="s">
        <v>60</v>
      </c>
      <c r="D607" s="662">
        <f>24*110/1000</f>
        <v>2.64</v>
      </c>
      <c r="E607" s="662">
        <f>20*110/1000</f>
        <v>2.2000000000000002</v>
      </c>
      <c r="F607" s="662">
        <f>24*130/1000</f>
        <v>3.12</v>
      </c>
      <c r="G607" s="662">
        <f>20*130/1000</f>
        <v>2.6</v>
      </c>
      <c r="H607" s="182"/>
      <c r="I607" s="182"/>
      <c r="J607" s="182"/>
      <c r="K607" s="182"/>
      <c r="L607" s="182"/>
      <c r="M607" s="182"/>
      <c r="N607" s="182"/>
      <c r="O607" s="182"/>
      <c r="P607" s="182"/>
    </row>
    <row r="608" spans="1:16" s="7" customFormat="1" ht="10.75" customHeight="1" x14ac:dyDescent="0.3">
      <c r="A608" s="92"/>
      <c r="B608" s="10"/>
      <c r="C608" s="10" t="s">
        <v>62</v>
      </c>
      <c r="D608" s="662">
        <f>25*110/1000</f>
        <v>2.75</v>
      </c>
      <c r="E608" s="662">
        <f>20*110/1000</f>
        <v>2.2000000000000002</v>
      </c>
      <c r="F608" s="662">
        <f>25*130/1000</f>
        <v>3.25</v>
      </c>
      <c r="G608" s="662">
        <f>20*130/1000</f>
        <v>2.6</v>
      </c>
      <c r="H608" s="182"/>
      <c r="I608" s="182"/>
      <c r="J608" s="182"/>
      <c r="K608" s="182"/>
      <c r="L608" s="182"/>
      <c r="M608" s="182"/>
      <c r="N608" s="182"/>
      <c r="O608" s="182"/>
      <c r="P608" s="182"/>
    </row>
    <row r="609" spans="1:16" s="7" customFormat="1" ht="10.75" customHeight="1" x14ac:dyDescent="0.3">
      <c r="A609" s="92"/>
      <c r="B609" s="10"/>
      <c r="C609" s="19" t="s">
        <v>103</v>
      </c>
      <c r="D609" s="662">
        <f>10*110/1000</f>
        <v>1.1000000000000001</v>
      </c>
      <c r="E609" s="662">
        <f>10*110/1000</f>
        <v>1.1000000000000001</v>
      </c>
      <c r="F609" s="662">
        <f>10*130/1000</f>
        <v>1.3</v>
      </c>
      <c r="G609" s="662">
        <f>10*130/1000</f>
        <v>1.3</v>
      </c>
      <c r="H609" s="182"/>
      <c r="I609" s="182"/>
      <c r="J609" s="182"/>
      <c r="K609" s="182"/>
      <c r="L609" s="182"/>
      <c r="M609" s="182"/>
      <c r="N609" s="182"/>
      <c r="O609" s="182"/>
      <c r="P609" s="182"/>
    </row>
    <row r="610" spans="1:16" s="7" customFormat="1" ht="10.75" customHeight="1" x14ac:dyDescent="0.3">
      <c r="A610" s="92"/>
      <c r="B610" s="10"/>
      <c r="C610" s="19" t="s">
        <v>63</v>
      </c>
      <c r="D610" s="662">
        <f>950*110/1000</f>
        <v>104.5</v>
      </c>
      <c r="E610" s="662">
        <f>950*110/1000</f>
        <v>104.5</v>
      </c>
      <c r="F610" s="662">
        <f>950*130/1000</f>
        <v>123.5</v>
      </c>
      <c r="G610" s="662">
        <f>950*130/1000</f>
        <v>123.5</v>
      </c>
      <c r="H610" s="182"/>
      <c r="I610" s="182"/>
      <c r="J610" s="182"/>
      <c r="K610" s="182"/>
      <c r="L610" s="182"/>
      <c r="M610" s="182"/>
      <c r="N610" s="182"/>
      <c r="O610" s="182"/>
      <c r="P610" s="182"/>
    </row>
    <row r="611" spans="1:16" s="7" customFormat="1" ht="10.75" customHeight="1" x14ac:dyDescent="0.3">
      <c r="A611" s="92"/>
      <c r="B611" s="10"/>
      <c r="C611" s="148" t="s">
        <v>187</v>
      </c>
      <c r="D611" s="93">
        <f>84*10/60</f>
        <v>14</v>
      </c>
      <c r="E611" s="93">
        <f>82*10/60</f>
        <v>13.666666666666666</v>
      </c>
      <c r="F611" s="93">
        <f>84*10/60</f>
        <v>14</v>
      </c>
      <c r="G611" s="93">
        <f>82*10/60</f>
        <v>13.666666666666666</v>
      </c>
      <c r="H611" s="182"/>
      <c r="I611" s="182"/>
      <c r="J611" s="182"/>
      <c r="K611" s="182"/>
      <c r="L611" s="182"/>
      <c r="M611" s="182"/>
      <c r="N611" s="182"/>
      <c r="O611" s="182"/>
      <c r="P611" s="182"/>
    </row>
    <row r="612" spans="1:16" s="7" customFormat="1" ht="10.75" customHeight="1" x14ac:dyDescent="0.3">
      <c r="A612" s="92"/>
      <c r="B612" s="10"/>
      <c r="C612" s="148" t="s">
        <v>154</v>
      </c>
      <c r="D612" s="93">
        <f>119*10/60</f>
        <v>19.833333333333332</v>
      </c>
      <c r="E612" s="93">
        <f>68*10/60</f>
        <v>11.333333333333334</v>
      </c>
      <c r="F612" s="93">
        <f>119*10/60</f>
        <v>19.833333333333332</v>
      </c>
      <c r="G612" s="93">
        <f>68*10/60</f>
        <v>11.333333333333334</v>
      </c>
      <c r="H612" s="182"/>
      <c r="I612" s="182"/>
      <c r="J612" s="182"/>
      <c r="K612" s="182"/>
      <c r="L612" s="182"/>
      <c r="M612" s="182"/>
      <c r="N612" s="182"/>
      <c r="O612" s="182"/>
      <c r="P612" s="182"/>
    </row>
    <row r="613" spans="1:16" s="7" customFormat="1" ht="10.75" customHeight="1" x14ac:dyDescent="0.3">
      <c r="A613" s="11">
        <v>287</v>
      </c>
      <c r="B613" s="10" t="s">
        <v>326</v>
      </c>
      <c r="C613" s="19" t="s">
        <v>137</v>
      </c>
      <c r="D613" s="93">
        <f>E613*1.15</f>
        <v>43.699999999999996</v>
      </c>
      <c r="E613" s="93">
        <v>38</v>
      </c>
      <c r="F613" s="93">
        <f>G613*1.15</f>
        <v>58.65</v>
      </c>
      <c r="G613" s="94">
        <v>51</v>
      </c>
      <c r="H613" s="182"/>
      <c r="I613" s="182"/>
      <c r="J613" s="182"/>
      <c r="K613" s="182"/>
      <c r="L613" s="182"/>
      <c r="M613" s="182"/>
      <c r="N613" s="182"/>
      <c r="O613" s="182"/>
      <c r="P613" s="182"/>
    </row>
    <row r="614" spans="1:16" s="7" customFormat="1" ht="10.75" customHeight="1" x14ac:dyDescent="0.3">
      <c r="A614" s="586"/>
      <c r="B614" s="10" t="s">
        <v>543</v>
      </c>
      <c r="C614" s="10" t="s">
        <v>60</v>
      </c>
      <c r="D614" s="93">
        <v>13</v>
      </c>
      <c r="E614" s="127" t="s">
        <v>544</v>
      </c>
      <c r="F614" s="96">
        <v>18</v>
      </c>
      <c r="G614" s="635" t="s">
        <v>545</v>
      </c>
      <c r="H614" s="182"/>
      <c r="I614" s="182"/>
      <c r="J614" s="182"/>
      <c r="K614" s="182"/>
      <c r="L614" s="182"/>
      <c r="M614" s="182"/>
      <c r="N614" s="182"/>
      <c r="O614" s="182"/>
      <c r="P614" s="182"/>
    </row>
    <row r="615" spans="1:16" s="7" customFormat="1" ht="10.75" customHeight="1" x14ac:dyDescent="0.3">
      <c r="A615" s="586"/>
      <c r="B615" s="10"/>
      <c r="C615" s="10" t="s">
        <v>108</v>
      </c>
      <c r="D615" s="93">
        <v>5</v>
      </c>
      <c r="E615" s="93">
        <v>15</v>
      </c>
      <c r="F615" s="93">
        <v>7</v>
      </c>
      <c r="G615" s="94">
        <v>20</v>
      </c>
      <c r="H615" s="182"/>
      <c r="I615" s="182"/>
      <c r="J615" s="182"/>
      <c r="K615" s="182"/>
      <c r="L615" s="182"/>
      <c r="M615" s="182"/>
      <c r="N615" s="182"/>
      <c r="O615" s="182"/>
      <c r="P615" s="182"/>
    </row>
    <row r="616" spans="1:16" s="7" customFormat="1" ht="10.75" customHeight="1" x14ac:dyDescent="0.3">
      <c r="A616" s="586"/>
      <c r="B616" s="10"/>
      <c r="C616" s="10" t="s">
        <v>54</v>
      </c>
      <c r="D616" s="93">
        <v>6</v>
      </c>
      <c r="E616" s="93">
        <v>6</v>
      </c>
      <c r="F616" s="93">
        <v>8</v>
      </c>
      <c r="G616" s="94">
        <v>8</v>
      </c>
      <c r="H616" s="182"/>
      <c r="I616" s="182"/>
      <c r="J616" s="182"/>
      <c r="K616" s="182"/>
      <c r="L616" s="182"/>
      <c r="M616" s="182"/>
      <c r="N616" s="182"/>
      <c r="O616" s="182"/>
      <c r="P616" s="182"/>
    </row>
    <row r="617" spans="1:16" s="7" customFormat="1" ht="10.75" customHeight="1" x14ac:dyDescent="0.3">
      <c r="A617" s="586"/>
      <c r="B617" s="123"/>
      <c r="C617" s="10" t="s">
        <v>136</v>
      </c>
      <c r="D617" s="93">
        <v>2</v>
      </c>
      <c r="E617" s="93">
        <v>2</v>
      </c>
      <c r="F617" s="93">
        <v>3</v>
      </c>
      <c r="G617" s="94">
        <v>3</v>
      </c>
      <c r="H617" s="182"/>
      <c r="I617" s="182"/>
      <c r="J617" s="182"/>
      <c r="K617" s="182"/>
      <c r="L617" s="182"/>
      <c r="M617" s="182"/>
      <c r="N617" s="182"/>
      <c r="O617" s="182"/>
      <c r="P617" s="182"/>
    </row>
    <row r="618" spans="1:16" s="7" customFormat="1" ht="10.75" customHeight="1" x14ac:dyDescent="0.3">
      <c r="A618" s="586"/>
      <c r="B618" s="10" t="s">
        <v>546</v>
      </c>
      <c r="C618" s="19" t="s">
        <v>109</v>
      </c>
      <c r="D618" s="96">
        <v>4</v>
      </c>
      <c r="E618" s="96">
        <v>4</v>
      </c>
      <c r="F618" s="96">
        <v>5</v>
      </c>
      <c r="G618" s="587">
        <v>5</v>
      </c>
      <c r="H618" s="182"/>
      <c r="I618" s="182"/>
      <c r="J618" s="182"/>
      <c r="K618" s="182"/>
      <c r="L618" s="182"/>
      <c r="M618" s="182"/>
      <c r="N618" s="182"/>
      <c r="O618" s="182"/>
      <c r="P618" s="182"/>
    </row>
    <row r="619" spans="1:16" s="7" customFormat="1" ht="10.75" customHeight="1" x14ac:dyDescent="0.3">
      <c r="A619" s="586"/>
      <c r="B619" s="10" t="s">
        <v>547</v>
      </c>
      <c r="C619" s="19" t="s">
        <v>136</v>
      </c>
      <c r="D619" s="96">
        <v>2</v>
      </c>
      <c r="E619" s="96">
        <v>2</v>
      </c>
      <c r="F619" s="96">
        <v>3</v>
      </c>
      <c r="G619" s="587">
        <v>3</v>
      </c>
      <c r="H619" s="182"/>
      <c r="I619" s="182"/>
      <c r="J619" s="182"/>
      <c r="K619" s="182"/>
      <c r="L619" s="182"/>
      <c r="M619" s="182"/>
      <c r="N619" s="182"/>
      <c r="O619" s="182"/>
      <c r="P619" s="182"/>
    </row>
    <row r="620" spans="1:16" s="7" customFormat="1" ht="10.75" customHeight="1" x14ac:dyDescent="0.3">
      <c r="A620" s="586"/>
      <c r="B620" s="10"/>
      <c r="C620" s="19" t="s">
        <v>54</v>
      </c>
      <c r="D620" s="96">
        <v>12</v>
      </c>
      <c r="E620" s="96">
        <v>12</v>
      </c>
      <c r="F620" s="96">
        <v>16</v>
      </c>
      <c r="G620" s="587">
        <v>16</v>
      </c>
      <c r="H620" s="182"/>
      <c r="I620" s="182"/>
      <c r="J620" s="182"/>
      <c r="K620" s="182"/>
      <c r="L620" s="182"/>
      <c r="M620" s="182"/>
      <c r="N620" s="182"/>
      <c r="O620" s="182"/>
      <c r="P620" s="182"/>
    </row>
    <row r="621" spans="1:16" s="7" customFormat="1" ht="10.75" customHeight="1" x14ac:dyDescent="0.3">
      <c r="A621" s="586">
        <v>354</v>
      </c>
      <c r="B621" s="10" t="s">
        <v>64</v>
      </c>
      <c r="C621" s="574" t="s">
        <v>267</v>
      </c>
      <c r="D621" s="64"/>
      <c r="E621" s="64">
        <v>60</v>
      </c>
      <c r="F621" s="64"/>
      <c r="G621" s="575">
        <v>80</v>
      </c>
      <c r="H621" s="182"/>
      <c r="I621" s="182"/>
      <c r="J621" s="182"/>
      <c r="K621" s="182"/>
      <c r="L621" s="182"/>
      <c r="M621" s="182"/>
      <c r="N621" s="182"/>
      <c r="O621" s="182"/>
      <c r="P621" s="182"/>
    </row>
    <row r="622" spans="1:16" s="7" customFormat="1" ht="10.75" customHeight="1" x14ac:dyDescent="0.3">
      <c r="A622" s="586"/>
      <c r="B622" s="10"/>
      <c r="C622" s="19" t="s">
        <v>56</v>
      </c>
      <c r="D622" s="93">
        <f>8*E621/1000</f>
        <v>0.48</v>
      </c>
      <c r="E622" s="93">
        <f>8*E621/1000</f>
        <v>0.48</v>
      </c>
      <c r="F622" s="93">
        <f>8*G621/1000</f>
        <v>0.64</v>
      </c>
      <c r="G622" s="94">
        <f>8*G621/1000</f>
        <v>0.64</v>
      </c>
      <c r="H622" s="182"/>
      <c r="I622" s="182"/>
      <c r="J622" s="182"/>
      <c r="K622" s="182"/>
      <c r="L622" s="182"/>
      <c r="M622" s="182"/>
      <c r="N622" s="182"/>
      <c r="O622" s="182"/>
      <c r="P622" s="182"/>
    </row>
    <row r="623" spans="1:16" s="7" customFormat="1" ht="10.75" customHeight="1" x14ac:dyDescent="0.3">
      <c r="A623" s="586"/>
      <c r="B623" s="10"/>
      <c r="C623" s="19" t="s">
        <v>65</v>
      </c>
      <c r="D623" s="93">
        <f>250*E621/1000</f>
        <v>15</v>
      </c>
      <c r="E623" s="93">
        <f>250*E621/1000</f>
        <v>15</v>
      </c>
      <c r="F623" s="93">
        <f>250*G621/1000</f>
        <v>20</v>
      </c>
      <c r="G623" s="94">
        <f>250*G621/1000</f>
        <v>20</v>
      </c>
      <c r="H623" s="182"/>
      <c r="I623" s="182"/>
      <c r="J623" s="182"/>
      <c r="K623" s="182"/>
      <c r="L623" s="182"/>
      <c r="M623" s="182"/>
      <c r="N623" s="182"/>
      <c r="O623" s="182"/>
      <c r="P623" s="182"/>
    </row>
    <row r="624" spans="1:16" s="7" customFormat="1" ht="10.75" customHeight="1" x14ac:dyDescent="0.3">
      <c r="A624" s="586"/>
      <c r="B624" s="10"/>
      <c r="C624" s="19" t="s">
        <v>340</v>
      </c>
      <c r="D624" s="93">
        <f>110*E621/1000</f>
        <v>6.6</v>
      </c>
      <c r="E624" s="93">
        <f>110*E621/1000</f>
        <v>6.6</v>
      </c>
      <c r="F624" s="93">
        <f>110*G621/1000</f>
        <v>8.8000000000000007</v>
      </c>
      <c r="G624" s="94">
        <f>110*G621/1000</f>
        <v>8.8000000000000007</v>
      </c>
      <c r="H624" s="182"/>
      <c r="I624" s="182"/>
      <c r="J624" s="182"/>
      <c r="K624" s="182"/>
      <c r="L624" s="182"/>
      <c r="M624" s="182"/>
      <c r="N624" s="182"/>
      <c r="O624" s="182"/>
      <c r="P624" s="182"/>
    </row>
    <row r="625" spans="1:16" s="7" customFormat="1" ht="10.75" customHeight="1" x14ac:dyDescent="0.3">
      <c r="A625" s="586"/>
      <c r="B625" s="10"/>
      <c r="C625" s="19" t="s">
        <v>109</v>
      </c>
      <c r="D625" s="93">
        <f>75*E621/1000</f>
        <v>4.5</v>
      </c>
      <c r="E625" s="93">
        <f>75*E621/1000</f>
        <v>4.5</v>
      </c>
      <c r="F625" s="93">
        <f>75*G621/1000</f>
        <v>6</v>
      </c>
      <c r="G625" s="94">
        <f>75*G621/1000</f>
        <v>6</v>
      </c>
      <c r="H625" s="182"/>
      <c r="I625" s="182"/>
      <c r="J625" s="182"/>
      <c r="K625" s="182"/>
      <c r="L625" s="182"/>
      <c r="M625" s="182"/>
      <c r="N625" s="182"/>
      <c r="O625" s="182"/>
      <c r="P625" s="182"/>
    </row>
    <row r="626" spans="1:16" s="7" customFormat="1" ht="10.75" customHeight="1" x14ac:dyDescent="0.3">
      <c r="A626" s="586"/>
      <c r="B626" s="10"/>
      <c r="C626" s="19" t="s">
        <v>54</v>
      </c>
      <c r="D626" s="93">
        <f>750*E621/1000</f>
        <v>45</v>
      </c>
      <c r="E626" s="93">
        <f>750*E621/1000</f>
        <v>45</v>
      </c>
      <c r="F626" s="93">
        <f>750*G621/1000</f>
        <v>60</v>
      </c>
      <c r="G626" s="94">
        <f>750*G621/1000</f>
        <v>60</v>
      </c>
      <c r="H626" s="182"/>
      <c r="I626" s="182"/>
      <c r="J626" s="182"/>
      <c r="K626" s="182"/>
      <c r="L626" s="182"/>
      <c r="M626" s="182"/>
      <c r="N626" s="182"/>
      <c r="O626" s="182"/>
      <c r="P626" s="182"/>
    </row>
    <row r="627" spans="1:16" s="7" customFormat="1" ht="10.75" customHeight="1" x14ac:dyDescent="0.3">
      <c r="A627" s="139">
        <v>132</v>
      </c>
      <c r="B627" s="10" t="s">
        <v>218</v>
      </c>
      <c r="C627" s="19" t="s">
        <v>134</v>
      </c>
      <c r="D627" s="662">
        <v>151.1</v>
      </c>
      <c r="E627" s="662">
        <v>121</v>
      </c>
      <c r="F627" s="662">
        <v>178.5</v>
      </c>
      <c r="G627" s="663">
        <v>143</v>
      </c>
      <c r="H627" s="182"/>
      <c r="I627" s="182"/>
      <c r="J627" s="182"/>
      <c r="K627" s="182"/>
      <c r="L627" s="182"/>
      <c r="M627" s="182"/>
      <c r="N627" s="182"/>
      <c r="O627" s="182"/>
      <c r="P627" s="182"/>
    </row>
    <row r="628" spans="1:16" s="7" customFormat="1" ht="10.75" customHeight="1" x14ac:dyDescent="0.3">
      <c r="A628" s="92"/>
      <c r="B628" s="665" t="s">
        <v>582</v>
      </c>
      <c r="C628" s="19" t="s">
        <v>103</v>
      </c>
      <c r="D628" s="662">
        <v>4.4000000000000004</v>
      </c>
      <c r="E628" s="662">
        <v>4.4000000000000004</v>
      </c>
      <c r="F628" s="662">
        <v>5.2</v>
      </c>
      <c r="G628" s="663">
        <v>5.2</v>
      </c>
      <c r="H628" s="182"/>
      <c r="I628" s="182"/>
      <c r="J628" s="182"/>
      <c r="K628" s="182"/>
      <c r="L628" s="182"/>
      <c r="M628" s="182"/>
      <c r="N628" s="182"/>
      <c r="O628" s="182"/>
      <c r="P628" s="182"/>
    </row>
    <row r="629" spans="1:16" s="7" customFormat="1" ht="10.75" customHeight="1" x14ac:dyDescent="0.3">
      <c r="A629" s="92"/>
      <c r="B629" s="10"/>
      <c r="C629" s="19" t="s">
        <v>105</v>
      </c>
      <c r="D629" s="662">
        <v>0</v>
      </c>
      <c r="E629" s="662">
        <v>0</v>
      </c>
      <c r="F629" s="662">
        <v>4.3</v>
      </c>
      <c r="G629" s="663">
        <v>4.3</v>
      </c>
      <c r="H629" s="182"/>
      <c r="I629" s="182"/>
      <c r="J629" s="182"/>
      <c r="K629" s="182"/>
      <c r="L629" s="182"/>
      <c r="M629" s="182"/>
      <c r="N629" s="182"/>
      <c r="O629" s="182"/>
      <c r="P629" s="182"/>
    </row>
    <row r="630" spans="1:16" s="7" customFormat="1" ht="10.75" customHeight="1" x14ac:dyDescent="0.3">
      <c r="A630" s="92"/>
      <c r="B630" s="10"/>
      <c r="C630" s="19" t="s">
        <v>62</v>
      </c>
      <c r="D630" s="678">
        <v>7.3</v>
      </c>
      <c r="E630" s="678">
        <v>5.9</v>
      </c>
      <c r="F630" s="678">
        <v>8.6999999999999993</v>
      </c>
      <c r="G630" s="679">
        <v>6.9</v>
      </c>
      <c r="H630" s="182"/>
      <c r="I630" s="182"/>
      <c r="J630" s="182"/>
      <c r="K630" s="182"/>
      <c r="L630" s="182"/>
      <c r="M630" s="182"/>
      <c r="N630" s="182"/>
      <c r="O630" s="182"/>
      <c r="P630" s="182"/>
    </row>
    <row r="631" spans="1:16" s="7" customFormat="1" ht="10.75" customHeight="1" x14ac:dyDescent="0.3">
      <c r="A631" s="92"/>
      <c r="B631" s="10"/>
      <c r="C631" s="19" t="s">
        <v>171</v>
      </c>
      <c r="D631" s="678">
        <v>5</v>
      </c>
      <c r="E631" s="678">
        <v>3</v>
      </c>
      <c r="F631" s="678">
        <v>5</v>
      </c>
      <c r="G631" s="679">
        <v>3</v>
      </c>
      <c r="H631" s="182"/>
      <c r="I631" s="182"/>
      <c r="J631" s="182"/>
      <c r="K631" s="182"/>
      <c r="L631" s="182"/>
      <c r="M631" s="182"/>
      <c r="N631" s="182"/>
      <c r="O631" s="182"/>
      <c r="P631" s="182"/>
    </row>
    <row r="632" spans="1:16" s="7" customFormat="1" ht="10.75" customHeight="1" x14ac:dyDescent="0.3">
      <c r="A632" s="92"/>
      <c r="B632" s="10"/>
      <c r="C632" s="19" t="s">
        <v>60</v>
      </c>
      <c r="D632" s="678">
        <v>9.5</v>
      </c>
      <c r="E632" s="678">
        <v>8.1</v>
      </c>
      <c r="F632" s="678">
        <v>11.3</v>
      </c>
      <c r="G632" s="679">
        <v>9.5</v>
      </c>
      <c r="H632" s="182"/>
      <c r="I632" s="182"/>
      <c r="J632" s="182"/>
      <c r="K632" s="182"/>
      <c r="L632" s="182"/>
      <c r="M632" s="182"/>
      <c r="N632" s="182"/>
      <c r="O632" s="182"/>
      <c r="P632" s="182"/>
    </row>
    <row r="633" spans="1:16" s="7" customFormat="1" ht="10.75" customHeight="1" x14ac:dyDescent="0.3">
      <c r="A633" s="92"/>
      <c r="B633" s="10"/>
      <c r="C633" s="19" t="s">
        <v>109</v>
      </c>
      <c r="D633" s="678">
        <v>2.2000000000000002</v>
      </c>
      <c r="E633" s="678">
        <v>2.2000000000000002</v>
      </c>
      <c r="F633" s="678">
        <v>2.6</v>
      </c>
      <c r="G633" s="679">
        <v>2.6</v>
      </c>
      <c r="H633" s="182"/>
      <c r="I633" s="182"/>
      <c r="J633" s="182"/>
      <c r="K633" s="182"/>
      <c r="L633" s="182"/>
      <c r="M633" s="182"/>
      <c r="N633" s="182"/>
      <c r="O633" s="182"/>
      <c r="P633" s="182"/>
    </row>
    <row r="634" spans="1:16" s="7" customFormat="1" ht="10.75" customHeight="1" x14ac:dyDescent="0.3">
      <c r="A634" s="92"/>
      <c r="B634" s="10"/>
      <c r="C634" s="19" t="s">
        <v>55</v>
      </c>
      <c r="D634" s="678">
        <v>2.9</v>
      </c>
      <c r="E634" s="678">
        <v>2.9</v>
      </c>
      <c r="F634" s="678">
        <v>3.5</v>
      </c>
      <c r="G634" s="679">
        <v>3.5</v>
      </c>
      <c r="H634" s="182"/>
      <c r="I634" s="182"/>
      <c r="J634" s="182"/>
      <c r="K634" s="182"/>
      <c r="L634" s="182"/>
      <c r="M634" s="182"/>
      <c r="N634" s="182"/>
      <c r="O634" s="182"/>
      <c r="P634" s="182"/>
    </row>
    <row r="635" spans="1:16" s="7" customFormat="1" ht="10.75" customHeight="1" x14ac:dyDescent="0.3">
      <c r="A635" s="11">
        <v>376</v>
      </c>
      <c r="B635" s="10" t="s">
        <v>280</v>
      </c>
      <c r="C635" s="19" t="s">
        <v>548</v>
      </c>
      <c r="D635" s="96">
        <f>100*150/1000</f>
        <v>15</v>
      </c>
      <c r="E635" s="96">
        <f>100*150/1000</f>
        <v>15</v>
      </c>
      <c r="F635" s="96">
        <f>100*180/1000</f>
        <v>18</v>
      </c>
      <c r="G635" s="587">
        <f>100*180/1000</f>
        <v>18</v>
      </c>
      <c r="H635" s="182"/>
      <c r="I635" s="182"/>
      <c r="J635" s="182"/>
      <c r="K635" s="182"/>
      <c r="L635" s="182"/>
      <c r="M635" s="182"/>
      <c r="N635" s="182"/>
      <c r="O635" s="182"/>
      <c r="P635" s="182"/>
    </row>
    <row r="636" spans="1:16" s="7" customFormat="1" ht="10.75" customHeight="1" x14ac:dyDescent="0.3">
      <c r="A636" s="92"/>
      <c r="B636" s="10"/>
      <c r="C636" s="19" t="s">
        <v>55</v>
      </c>
      <c r="D636" s="96">
        <f>80*150/1000</f>
        <v>12</v>
      </c>
      <c r="E636" s="96">
        <f>80*150/1000</f>
        <v>12</v>
      </c>
      <c r="F636" s="96">
        <f>80*180/1000</f>
        <v>14.4</v>
      </c>
      <c r="G636" s="587">
        <f>80*180/1000</f>
        <v>14.4</v>
      </c>
      <c r="H636" s="182"/>
      <c r="I636" s="182"/>
      <c r="J636" s="182"/>
      <c r="K636" s="182"/>
      <c r="L636" s="182"/>
      <c r="M636" s="182"/>
      <c r="N636" s="182"/>
      <c r="O636" s="182"/>
      <c r="P636" s="182"/>
    </row>
    <row r="637" spans="1:16" s="7" customFormat="1" ht="10.75" customHeight="1" x14ac:dyDescent="0.3">
      <c r="A637" s="92"/>
      <c r="B637" s="10"/>
      <c r="C637" s="19" t="s">
        <v>54</v>
      </c>
      <c r="D637" s="96">
        <f>1015*150/1000</f>
        <v>152.25</v>
      </c>
      <c r="E637" s="96">
        <f>1015*150/1000</f>
        <v>152.25</v>
      </c>
      <c r="F637" s="96">
        <v>167.4</v>
      </c>
      <c r="G637" s="587">
        <f>930*180/1000</f>
        <v>167.4</v>
      </c>
      <c r="H637" s="182"/>
      <c r="I637" s="182"/>
      <c r="J637" s="182"/>
      <c r="K637" s="182"/>
      <c r="L637" s="182"/>
      <c r="M637" s="182"/>
      <c r="N637" s="182"/>
      <c r="O637" s="182"/>
      <c r="P637" s="182"/>
    </row>
    <row r="638" spans="1:16" s="7" customFormat="1" ht="10.75" customHeight="1" x14ac:dyDescent="0.3">
      <c r="A638" s="92">
        <v>1</v>
      </c>
      <c r="B638" s="10" t="s">
        <v>72</v>
      </c>
      <c r="C638" s="10" t="s">
        <v>72</v>
      </c>
      <c r="D638" s="93">
        <v>20</v>
      </c>
      <c r="E638" s="93">
        <v>20</v>
      </c>
      <c r="F638" s="93">
        <v>30</v>
      </c>
      <c r="G638" s="94">
        <v>30</v>
      </c>
      <c r="H638" s="182"/>
      <c r="I638" s="182"/>
      <c r="J638" s="182"/>
      <c r="K638" s="182"/>
      <c r="L638" s="182"/>
      <c r="M638" s="182"/>
      <c r="N638" s="182"/>
      <c r="O638" s="182"/>
      <c r="P638" s="182"/>
    </row>
    <row r="639" spans="1:16" s="7" customFormat="1" ht="10.75" customHeight="1" thickBot="1" x14ac:dyDescent="0.35">
      <c r="A639" s="28">
        <v>1</v>
      </c>
      <c r="B639" s="12" t="s">
        <v>17</v>
      </c>
      <c r="C639" s="12" t="s">
        <v>17</v>
      </c>
      <c r="D639" s="63">
        <v>17</v>
      </c>
      <c r="E639" s="63">
        <v>17</v>
      </c>
      <c r="F639" s="63">
        <v>21</v>
      </c>
      <c r="G639" s="184">
        <v>21</v>
      </c>
      <c r="H639" s="182"/>
      <c r="I639" s="182"/>
      <c r="J639" s="182"/>
      <c r="K639" s="182"/>
      <c r="L639" s="182"/>
      <c r="M639" s="182"/>
      <c r="N639" s="182"/>
      <c r="O639" s="182"/>
      <c r="P639" s="182"/>
    </row>
    <row r="640" spans="1:16" s="7" customFormat="1" ht="10.75" customHeight="1" x14ac:dyDescent="0.3">
      <c r="A640" s="509">
        <v>291</v>
      </c>
      <c r="B640" s="16" t="s">
        <v>316</v>
      </c>
      <c r="C640" s="16" t="s">
        <v>163</v>
      </c>
      <c r="D640" s="568">
        <f>E640*1.33</f>
        <v>148.96</v>
      </c>
      <c r="E640" s="568">
        <v>112</v>
      </c>
      <c r="F640" s="568">
        <f>G640*1.33</f>
        <v>196.84</v>
      </c>
      <c r="G640" s="569">
        <v>148</v>
      </c>
      <c r="H640" s="182"/>
      <c r="I640" s="182"/>
      <c r="J640" s="182"/>
      <c r="K640" s="182"/>
      <c r="L640" s="182"/>
      <c r="M640" s="182"/>
      <c r="N640" s="182"/>
      <c r="O640" s="182"/>
      <c r="P640" s="182"/>
    </row>
    <row r="641" spans="1:16" s="7" customFormat="1" ht="10.75" customHeight="1" x14ac:dyDescent="0.3">
      <c r="A641" s="92"/>
      <c r="B641" s="10"/>
      <c r="C641" s="10" t="s">
        <v>164</v>
      </c>
      <c r="D641" s="93">
        <f>E641*1.43</f>
        <v>160.16</v>
      </c>
      <c r="E641" s="93">
        <v>112</v>
      </c>
      <c r="F641" s="93">
        <f>G641*1.43</f>
        <v>211.64</v>
      </c>
      <c r="G641" s="94">
        <v>148</v>
      </c>
      <c r="H641" s="182"/>
      <c r="I641" s="182"/>
      <c r="J641" s="182"/>
      <c r="K641" s="182"/>
      <c r="L641" s="182"/>
      <c r="M641" s="182"/>
      <c r="N641" s="182"/>
      <c r="O641" s="182"/>
      <c r="P641" s="182"/>
    </row>
    <row r="642" spans="1:16" s="7" customFormat="1" ht="10.75" customHeight="1" x14ac:dyDescent="0.3">
      <c r="A642" s="92" t="s">
        <v>133</v>
      </c>
      <c r="B642" s="10" t="s">
        <v>228</v>
      </c>
      <c r="C642" s="10" t="s">
        <v>165</v>
      </c>
      <c r="D642" s="93">
        <f>E642*1.54</f>
        <v>172.48000000000002</v>
      </c>
      <c r="E642" s="93">
        <v>112</v>
      </c>
      <c r="F642" s="93">
        <f>G642*1.54</f>
        <v>227.92000000000002</v>
      </c>
      <c r="G642" s="94">
        <v>148</v>
      </c>
      <c r="H642" s="182"/>
      <c r="I642" s="182"/>
      <c r="J642" s="182"/>
      <c r="K642" s="182"/>
      <c r="L642" s="182"/>
      <c r="M642" s="182"/>
      <c r="N642" s="182"/>
      <c r="O642" s="182"/>
      <c r="P642" s="182"/>
    </row>
    <row r="643" spans="1:16" s="7" customFormat="1" ht="10.75" customHeight="1" x14ac:dyDescent="0.3">
      <c r="A643" s="92"/>
      <c r="B643" s="10"/>
      <c r="C643" s="10" t="s">
        <v>166</v>
      </c>
      <c r="D643" s="93">
        <f>E643*1.67</f>
        <v>187.04</v>
      </c>
      <c r="E643" s="93">
        <v>112</v>
      </c>
      <c r="F643" s="93">
        <f>G643*1.67</f>
        <v>247.16</v>
      </c>
      <c r="G643" s="94">
        <v>148</v>
      </c>
      <c r="H643" s="182"/>
      <c r="I643" s="182"/>
      <c r="J643" s="182"/>
      <c r="K643" s="182"/>
      <c r="L643" s="182"/>
      <c r="M643" s="182"/>
      <c r="N643" s="182"/>
      <c r="O643" s="182"/>
      <c r="P643" s="182"/>
    </row>
    <row r="644" spans="1:16" s="7" customFormat="1" ht="10.75" customHeight="1" x14ac:dyDescent="0.3">
      <c r="A644" s="92"/>
      <c r="B644" s="10"/>
      <c r="C644" s="19" t="s">
        <v>198</v>
      </c>
      <c r="D644" s="93">
        <f>E644*1.25</f>
        <v>140</v>
      </c>
      <c r="E644" s="93">
        <v>112</v>
      </c>
      <c r="F644" s="93">
        <f>G644*1.25</f>
        <v>185</v>
      </c>
      <c r="G644" s="94">
        <v>148</v>
      </c>
      <c r="H644" s="182"/>
      <c r="I644" s="182"/>
      <c r="J644" s="182"/>
      <c r="K644" s="182"/>
      <c r="L644" s="182"/>
      <c r="M644" s="182"/>
      <c r="N644" s="182"/>
      <c r="O644" s="182"/>
      <c r="P644" s="182"/>
    </row>
    <row r="645" spans="1:16" s="7" customFormat="1" ht="10.75" customHeight="1" x14ac:dyDescent="0.3">
      <c r="A645" s="92"/>
      <c r="B645" s="123" t="s">
        <v>229</v>
      </c>
      <c r="C645" s="10" t="s">
        <v>126</v>
      </c>
      <c r="D645" s="93">
        <v>38</v>
      </c>
      <c r="E645" s="93">
        <v>31</v>
      </c>
      <c r="F645" s="93">
        <v>50</v>
      </c>
      <c r="G645" s="94">
        <v>41</v>
      </c>
      <c r="H645" s="182"/>
      <c r="I645" s="182"/>
      <c r="J645" s="182"/>
      <c r="K645" s="182"/>
      <c r="L645" s="182"/>
      <c r="M645" s="182"/>
      <c r="N645" s="182"/>
      <c r="O645" s="182"/>
      <c r="P645" s="182"/>
    </row>
    <row r="646" spans="1:16" s="7" customFormat="1" ht="10.75" customHeight="1" x14ac:dyDescent="0.3">
      <c r="A646" s="92"/>
      <c r="B646" s="10"/>
      <c r="C646" s="10" t="s">
        <v>60</v>
      </c>
      <c r="D646" s="93">
        <v>10</v>
      </c>
      <c r="E646" s="93">
        <v>8</v>
      </c>
      <c r="F646" s="93">
        <v>13</v>
      </c>
      <c r="G646" s="94">
        <v>11</v>
      </c>
      <c r="H646" s="182"/>
      <c r="I646" s="182"/>
      <c r="J646" s="182"/>
      <c r="K646" s="182"/>
      <c r="L646" s="182"/>
      <c r="M646" s="182"/>
      <c r="N646" s="182"/>
      <c r="O646" s="182"/>
      <c r="P646" s="182"/>
    </row>
    <row r="647" spans="1:16" s="7" customFormat="1" ht="10.75" customHeight="1" x14ac:dyDescent="0.3">
      <c r="A647" s="92"/>
      <c r="B647" s="10"/>
      <c r="C647" s="10" t="s">
        <v>103</v>
      </c>
      <c r="D647" s="93">
        <v>1</v>
      </c>
      <c r="E647" s="93">
        <v>1</v>
      </c>
      <c r="F647" s="93">
        <v>2</v>
      </c>
      <c r="G647" s="94">
        <v>2</v>
      </c>
      <c r="H647" s="182"/>
      <c r="I647" s="182"/>
      <c r="J647" s="182"/>
      <c r="K647" s="182"/>
      <c r="L647" s="182"/>
      <c r="M647" s="182"/>
      <c r="N647" s="182"/>
      <c r="O647" s="182"/>
      <c r="P647" s="182"/>
    </row>
    <row r="648" spans="1:16" s="7" customFormat="1" ht="10.75" customHeight="1" x14ac:dyDescent="0.3">
      <c r="A648" s="92"/>
      <c r="B648" s="10"/>
      <c r="C648" s="10" t="s">
        <v>103</v>
      </c>
      <c r="D648" s="93">
        <v>3</v>
      </c>
      <c r="E648" s="93">
        <v>3</v>
      </c>
      <c r="F648" s="93">
        <v>4</v>
      </c>
      <c r="G648" s="94">
        <v>4</v>
      </c>
      <c r="H648" s="182"/>
      <c r="I648" s="182"/>
      <c r="J648" s="182"/>
      <c r="K648" s="182"/>
      <c r="L648" s="182"/>
      <c r="M648" s="182"/>
      <c r="N648" s="182"/>
      <c r="O648" s="182"/>
      <c r="P648" s="182"/>
    </row>
    <row r="649" spans="1:16" s="7" customFormat="1" ht="10.75" customHeight="1" x14ac:dyDescent="0.3">
      <c r="A649" s="92"/>
      <c r="B649" s="10"/>
      <c r="C649" s="10" t="s">
        <v>95</v>
      </c>
      <c r="D649" s="93">
        <f>E649*1.56</f>
        <v>3.12</v>
      </c>
      <c r="E649" s="93">
        <v>2</v>
      </c>
      <c r="F649" s="93">
        <f>G649*1.56</f>
        <v>4.68</v>
      </c>
      <c r="G649" s="94">
        <v>3</v>
      </c>
      <c r="H649" s="182"/>
      <c r="I649" s="182"/>
      <c r="J649" s="182"/>
      <c r="K649" s="182"/>
      <c r="L649" s="182"/>
      <c r="M649" s="182"/>
      <c r="N649" s="182"/>
      <c r="O649" s="182"/>
      <c r="P649" s="182"/>
    </row>
    <row r="650" spans="1:16" s="7" customFormat="1" ht="10.75" customHeight="1" x14ac:dyDescent="0.3">
      <c r="A650" s="92"/>
      <c r="B650" s="10"/>
      <c r="C650" s="10" t="s">
        <v>227</v>
      </c>
      <c r="D650" s="93">
        <v>5</v>
      </c>
      <c r="E650" s="93">
        <v>5</v>
      </c>
      <c r="F650" s="93">
        <v>5</v>
      </c>
      <c r="G650" s="94">
        <v>5</v>
      </c>
      <c r="H650" s="182"/>
      <c r="I650" s="182"/>
      <c r="J650" s="182"/>
      <c r="K650" s="182"/>
      <c r="L650" s="182"/>
      <c r="M650" s="182"/>
      <c r="N650" s="182"/>
      <c r="O650" s="182"/>
      <c r="P650" s="182"/>
    </row>
    <row r="651" spans="1:16" s="7" customFormat="1" ht="10.75" customHeight="1" x14ac:dyDescent="0.3">
      <c r="A651" s="11">
        <v>8</v>
      </c>
      <c r="B651" s="10" t="s">
        <v>157</v>
      </c>
      <c r="C651" s="376" t="s">
        <v>239</v>
      </c>
      <c r="D651" s="10"/>
      <c r="E651" s="93"/>
      <c r="F651" s="127" t="s">
        <v>240</v>
      </c>
      <c r="G651" s="94">
        <v>25</v>
      </c>
      <c r="H651" s="182"/>
      <c r="I651" s="182"/>
      <c r="J651" s="182"/>
      <c r="K651" s="182"/>
      <c r="L651" s="182"/>
      <c r="M651" s="182"/>
      <c r="N651" s="182"/>
      <c r="O651" s="182"/>
      <c r="P651" s="182"/>
    </row>
    <row r="652" spans="1:16" s="7" customFormat="1" ht="10.75" customHeight="1" x14ac:dyDescent="0.3">
      <c r="A652" s="11">
        <v>393</v>
      </c>
      <c r="B652" s="10" t="s">
        <v>288</v>
      </c>
      <c r="C652" s="10" t="s">
        <v>292</v>
      </c>
      <c r="D652" s="21">
        <v>4</v>
      </c>
      <c r="E652" s="93">
        <v>3.5</v>
      </c>
      <c r="F652" s="21">
        <v>8</v>
      </c>
      <c r="G652" s="94">
        <v>7</v>
      </c>
      <c r="H652" s="182"/>
      <c r="I652" s="182"/>
      <c r="J652" s="182"/>
      <c r="K652" s="182"/>
      <c r="L652" s="182"/>
      <c r="M652" s="182"/>
      <c r="N652" s="182"/>
      <c r="O652" s="182"/>
      <c r="P652" s="182"/>
    </row>
    <row r="653" spans="1:16" s="7" customFormat="1" ht="10.75" customHeight="1" x14ac:dyDescent="0.3">
      <c r="A653" s="92"/>
      <c r="B653" s="10"/>
      <c r="C653" s="10" t="s">
        <v>268</v>
      </c>
      <c r="D653" s="93">
        <f>10*20/1000</f>
        <v>0.2</v>
      </c>
      <c r="E653" s="93">
        <f>10*20/1000</f>
        <v>0.2</v>
      </c>
      <c r="F653" s="93">
        <f>10*30/1000</f>
        <v>0.3</v>
      </c>
      <c r="G653" s="94">
        <f>10*30/1000</f>
        <v>0.3</v>
      </c>
      <c r="H653" s="182"/>
      <c r="I653" s="182"/>
      <c r="J653" s="182"/>
      <c r="K653" s="182"/>
      <c r="L653" s="182"/>
      <c r="M653" s="182"/>
      <c r="N653" s="182"/>
      <c r="O653" s="182"/>
      <c r="P653" s="182"/>
    </row>
    <row r="654" spans="1:16" s="7" customFormat="1" ht="10.75" customHeight="1" x14ac:dyDescent="0.3">
      <c r="A654" s="92"/>
      <c r="B654" s="10"/>
      <c r="C654" s="10" t="s">
        <v>55</v>
      </c>
      <c r="D654" s="93">
        <v>7</v>
      </c>
      <c r="E654" s="93">
        <v>7</v>
      </c>
      <c r="F654" s="93">
        <v>10</v>
      </c>
      <c r="G654" s="94">
        <v>10</v>
      </c>
      <c r="H654" s="182"/>
      <c r="I654" s="182"/>
      <c r="J654" s="182"/>
      <c r="K654" s="182"/>
      <c r="L654" s="182"/>
      <c r="M654" s="182"/>
      <c r="N654" s="182"/>
      <c r="O654" s="182"/>
      <c r="P654" s="182"/>
    </row>
    <row r="655" spans="1:16" s="7" customFormat="1" ht="10.75" customHeight="1" x14ac:dyDescent="0.3">
      <c r="A655" s="92"/>
      <c r="B655" s="10"/>
      <c r="C655" s="10" t="s">
        <v>54</v>
      </c>
      <c r="D655" s="21">
        <v>130</v>
      </c>
      <c r="E655" s="93">
        <v>130</v>
      </c>
      <c r="F655" s="21">
        <v>150</v>
      </c>
      <c r="G655" s="94">
        <v>150</v>
      </c>
      <c r="H655" s="182"/>
      <c r="I655" s="182"/>
      <c r="J655" s="182"/>
      <c r="K655" s="182"/>
      <c r="L655" s="182"/>
      <c r="M655" s="182"/>
      <c r="N655" s="182"/>
      <c r="O655" s="182"/>
      <c r="P655" s="182"/>
    </row>
    <row r="656" spans="1:16" s="7" customFormat="1" ht="49.15" customHeight="1" thickBot="1" x14ac:dyDescent="0.35">
      <c r="A656" s="28"/>
      <c r="B656" s="12" t="s">
        <v>17</v>
      </c>
      <c r="C656" s="12" t="s">
        <v>17</v>
      </c>
      <c r="D656" s="63">
        <v>17</v>
      </c>
      <c r="E656" s="63">
        <v>17</v>
      </c>
      <c r="F656" s="63">
        <v>21</v>
      </c>
      <c r="G656" s="184">
        <v>21</v>
      </c>
      <c r="H656" s="182"/>
      <c r="I656" s="182"/>
      <c r="J656" s="182"/>
      <c r="K656" s="182"/>
      <c r="L656" s="182"/>
      <c r="M656" s="182"/>
      <c r="N656" s="182"/>
      <c r="O656" s="182"/>
      <c r="P656" s="182"/>
    </row>
    <row r="657" spans="1:16" s="7" customFormat="1" ht="10.5" customHeight="1" x14ac:dyDescent="0.3">
      <c r="A657" s="488"/>
      <c r="B657" s="888" t="s">
        <v>604</v>
      </c>
      <c r="C657" s="888"/>
      <c r="D657" s="880" t="s">
        <v>69</v>
      </c>
      <c r="E657" s="880"/>
      <c r="F657" s="880" t="s">
        <v>70</v>
      </c>
      <c r="G657" s="885"/>
      <c r="H657" s="182"/>
      <c r="I657" s="182"/>
      <c r="J657" s="182"/>
      <c r="K657" s="182"/>
      <c r="L657" s="182"/>
      <c r="M657" s="182"/>
      <c r="N657" s="182"/>
      <c r="O657" s="182"/>
      <c r="P657" s="182"/>
    </row>
    <row r="658" spans="1:16" s="7" customFormat="1" ht="10.5" customHeight="1" thickBot="1" x14ac:dyDescent="0.35">
      <c r="A658" s="177"/>
      <c r="B658" s="889"/>
      <c r="C658" s="889"/>
      <c r="D658" s="178" t="s">
        <v>91</v>
      </c>
      <c r="E658" s="179" t="s">
        <v>46</v>
      </c>
      <c r="F658" s="178" t="s">
        <v>91</v>
      </c>
      <c r="G658" s="281" t="s">
        <v>46</v>
      </c>
      <c r="H658" s="182"/>
      <c r="I658" s="182"/>
      <c r="J658" s="182"/>
      <c r="K658" s="182"/>
      <c r="L658" s="182"/>
      <c r="M658" s="182"/>
      <c r="N658" s="182"/>
      <c r="O658" s="182"/>
      <c r="P658" s="182"/>
    </row>
    <row r="659" spans="1:16" s="7" customFormat="1" ht="10.5" customHeight="1" x14ac:dyDescent="0.3">
      <c r="A659" s="629">
        <v>215</v>
      </c>
      <c r="B659" s="16" t="s">
        <v>420</v>
      </c>
      <c r="C659" s="16" t="s">
        <v>121</v>
      </c>
      <c r="D659" s="568">
        <f>46*120/60</f>
        <v>92</v>
      </c>
      <c r="E659" s="568">
        <v>92</v>
      </c>
      <c r="F659" s="568">
        <f>46*120/60</f>
        <v>92</v>
      </c>
      <c r="G659" s="568">
        <v>92</v>
      </c>
      <c r="H659" s="182"/>
      <c r="I659" s="182"/>
      <c r="J659" s="182"/>
      <c r="K659" s="182"/>
      <c r="L659" s="182"/>
      <c r="M659" s="182"/>
      <c r="N659" s="182"/>
      <c r="O659" s="182"/>
      <c r="P659" s="182"/>
    </row>
    <row r="660" spans="1:16" s="7" customFormat="1" ht="10.5" customHeight="1" x14ac:dyDescent="0.3">
      <c r="A660" s="92"/>
      <c r="B660" s="10" t="s">
        <v>577</v>
      </c>
      <c r="C660" s="10" t="s">
        <v>51</v>
      </c>
      <c r="D660" s="93">
        <f>16*120/60</f>
        <v>32</v>
      </c>
      <c r="E660" s="93">
        <v>32</v>
      </c>
      <c r="F660" s="93">
        <f>16*120/60</f>
        <v>32</v>
      </c>
      <c r="G660" s="93">
        <v>32</v>
      </c>
      <c r="H660" s="182"/>
      <c r="I660" s="182"/>
      <c r="J660" s="182"/>
      <c r="K660" s="182"/>
      <c r="L660" s="182"/>
      <c r="M660" s="182"/>
      <c r="N660" s="182"/>
      <c r="O660" s="182"/>
      <c r="P660" s="182"/>
    </row>
    <row r="661" spans="1:16" s="7" customFormat="1" ht="10.5" customHeight="1" x14ac:dyDescent="0.3">
      <c r="A661" s="92"/>
      <c r="B661" s="123"/>
      <c r="C661" s="10" t="s">
        <v>57</v>
      </c>
      <c r="D661" s="93">
        <f>3*120/60</f>
        <v>6</v>
      </c>
      <c r="E661" s="93">
        <v>6</v>
      </c>
      <c r="F661" s="93">
        <f>3*120/60</f>
        <v>6</v>
      </c>
      <c r="G661" s="93">
        <v>6</v>
      </c>
      <c r="H661" s="182"/>
      <c r="I661" s="182"/>
      <c r="J661" s="182"/>
      <c r="K661" s="182"/>
      <c r="L661" s="182"/>
      <c r="M661" s="182"/>
      <c r="N661" s="182"/>
      <c r="O661" s="182"/>
      <c r="P661" s="182"/>
    </row>
    <row r="662" spans="1:16" s="7" customFormat="1" ht="10.5" customHeight="1" x14ac:dyDescent="0.3">
      <c r="A662" s="92"/>
      <c r="B662" s="10"/>
      <c r="C662" s="10" t="s">
        <v>194</v>
      </c>
      <c r="D662" s="93">
        <v>5</v>
      </c>
      <c r="E662" s="93">
        <v>5</v>
      </c>
      <c r="F662" s="93">
        <v>5</v>
      </c>
      <c r="G662" s="93">
        <v>5</v>
      </c>
      <c r="H662" s="182"/>
      <c r="I662" s="182"/>
      <c r="J662" s="182"/>
      <c r="K662" s="182"/>
      <c r="L662" s="182"/>
      <c r="M662" s="182"/>
      <c r="N662" s="182"/>
      <c r="O662" s="182"/>
      <c r="P662" s="182"/>
    </row>
    <row r="663" spans="1:16" s="7" customFormat="1" ht="10.5" customHeight="1" x14ac:dyDescent="0.3">
      <c r="A663" s="92"/>
      <c r="B663" s="10"/>
      <c r="C663" s="10" t="s">
        <v>56</v>
      </c>
      <c r="D663" s="93">
        <f>1.5*150/1000</f>
        <v>0.22500000000000001</v>
      </c>
      <c r="E663" s="93">
        <f>1.5*150/1000</f>
        <v>0.22500000000000001</v>
      </c>
      <c r="F663" s="93">
        <f>1.5*200/1000</f>
        <v>0.3</v>
      </c>
      <c r="G663" s="94">
        <f>1.5*200/1000</f>
        <v>0.3</v>
      </c>
      <c r="H663" s="182"/>
      <c r="I663" s="182"/>
      <c r="J663" s="182"/>
      <c r="K663" s="182"/>
      <c r="L663" s="182"/>
      <c r="M663" s="182"/>
      <c r="N663" s="182"/>
      <c r="O663" s="182"/>
      <c r="P663" s="182"/>
    </row>
    <row r="664" spans="1:16" s="7" customFormat="1" ht="10.5" customHeight="1" x14ac:dyDescent="0.3">
      <c r="A664" s="11">
        <v>3</v>
      </c>
      <c r="B664" s="10" t="s">
        <v>216</v>
      </c>
      <c r="C664" s="153" t="s">
        <v>284</v>
      </c>
      <c r="D664" s="607">
        <v>24</v>
      </c>
      <c r="E664" s="607">
        <v>24</v>
      </c>
      <c r="F664" s="607">
        <v>30</v>
      </c>
      <c r="G664" s="608">
        <v>30</v>
      </c>
      <c r="H664" s="182"/>
      <c r="I664" s="182"/>
      <c r="J664" s="182"/>
      <c r="K664" s="182"/>
      <c r="L664" s="182"/>
      <c r="M664" s="182"/>
      <c r="N664" s="182"/>
      <c r="O664" s="182"/>
      <c r="P664" s="182"/>
    </row>
    <row r="665" spans="1:16" s="7" customFormat="1" ht="10.5" customHeight="1" x14ac:dyDescent="0.3">
      <c r="A665" s="620"/>
      <c r="B665" s="153" t="s">
        <v>278</v>
      </c>
      <c r="C665" s="153" t="s">
        <v>0</v>
      </c>
      <c r="D665" s="93">
        <f>10.6*5/10</f>
        <v>5.3</v>
      </c>
      <c r="E665" s="93">
        <v>5</v>
      </c>
      <c r="F665" s="93">
        <f>10.6*5/10</f>
        <v>5.3</v>
      </c>
      <c r="G665" s="94">
        <v>5</v>
      </c>
      <c r="H665" s="182"/>
      <c r="I665" s="182"/>
      <c r="J665" s="182"/>
      <c r="K665" s="182"/>
      <c r="L665" s="182"/>
      <c r="M665" s="182"/>
      <c r="N665" s="182"/>
      <c r="O665" s="182"/>
      <c r="P665" s="182"/>
    </row>
    <row r="666" spans="1:16" s="7" customFormat="1" ht="10.5" customHeight="1" x14ac:dyDescent="0.25">
      <c r="A666" s="620"/>
      <c r="B666" s="153"/>
      <c r="C666" s="153" t="s">
        <v>136</v>
      </c>
      <c r="D666" s="607">
        <v>5</v>
      </c>
      <c r="E666" s="607">
        <v>5</v>
      </c>
      <c r="F666" s="607">
        <v>5</v>
      </c>
      <c r="G666" s="608">
        <v>5</v>
      </c>
      <c r="H666" s="182"/>
      <c r="I666" s="182"/>
      <c r="J666" s="182"/>
      <c r="K666" s="182"/>
      <c r="L666" s="182"/>
      <c r="M666" s="182"/>
      <c r="N666" s="182"/>
      <c r="O666" s="182"/>
      <c r="P666" s="182"/>
    </row>
    <row r="667" spans="1:16" s="7" customFormat="1" ht="10.5" customHeight="1" thickBot="1" x14ac:dyDescent="0.35">
      <c r="A667" s="13">
        <v>392</v>
      </c>
      <c r="B667" s="12" t="s">
        <v>409</v>
      </c>
      <c r="C667" s="636" t="s">
        <v>268</v>
      </c>
      <c r="D667" s="703">
        <v>0.2</v>
      </c>
      <c r="E667" s="703">
        <v>0.2</v>
      </c>
      <c r="F667" s="703">
        <v>0.3</v>
      </c>
      <c r="G667" s="704">
        <v>0.3</v>
      </c>
      <c r="H667" s="182"/>
      <c r="I667" s="182"/>
      <c r="J667" s="182"/>
      <c r="K667" s="182"/>
      <c r="L667" s="182"/>
      <c r="M667" s="182"/>
      <c r="N667" s="182"/>
      <c r="O667" s="182"/>
      <c r="P667" s="182"/>
    </row>
    <row r="668" spans="1:16" s="7" customFormat="1" ht="10.5" customHeight="1" thickBot="1" x14ac:dyDescent="0.35">
      <c r="A668" s="728"/>
      <c r="B668" s="729"/>
      <c r="C668" s="730" t="s">
        <v>636</v>
      </c>
      <c r="D668" s="731">
        <v>12</v>
      </c>
      <c r="E668" s="731">
        <v>12</v>
      </c>
      <c r="F668" s="731">
        <v>15</v>
      </c>
      <c r="G668" s="732">
        <v>15</v>
      </c>
      <c r="H668" s="182"/>
      <c r="I668" s="182"/>
      <c r="J668" s="182"/>
      <c r="K668" s="182"/>
      <c r="L668" s="182"/>
      <c r="M668" s="182"/>
      <c r="N668" s="182"/>
      <c r="O668" s="182"/>
      <c r="P668" s="182"/>
    </row>
    <row r="669" spans="1:16" s="7" customFormat="1" ht="10.5" customHeight="1" thickBot="1" x14ac:dyDescent="0.35">
      <c r="A669" s="47">
        <v>368</v>
      </c>
      <c r="B669" s="48" t="s">
        <v>549</v>
      </c>
      <c r="C669" s="48" t="s">
        <v>550</v>
      </c>
      <c r="D669" s="674">
        <v>109</v>
      </c>
      <c r="E669" s="674">
        <v>95</v>
      </c>
      <c r="F669" s="674">
        <v>180</v>
      </c>
      <c r="G669" s="687">
        <v>180</v>
      </c>
      <c r="H669" s="182"/>
      <c r="I669" s="182"/>
      <c r="J669" s="182"/>
      <c r="K669" s="182"/>
      <c r="L669" s="182"/>
      <c r="M669" s="182"/>
      <c r="N669" s="182"/>
      <c r="O669" s="182"/>
      <c r="P669" s="182"/>
    </row>
    <row r="670" spans="1:16" s="7" customFormat="1" ht="10.5" customHeight="1" x14ac:dyDescent="0.3">
      <c r="A670" s="509">
        <v>15</v>
      </c>
      <c r="B670" s="16" t="s">
        <v>332</v>
      </c>
      <c r="C670" s="565" t="s">
        <v>285</v>
      </c>
      <c r="D670" s="660">
        <f>565*30/1000</f>
        <v>16.95</v>
      </c>
      <c r="E670" s="660">
        <f>480*30/1000</f>
        <v>14.4</v>
      </c>
      <c r="F670" s="660">
        <f>565*50/1000</f>
        <v>28.25</v>
      </c>
      <c r="G670" s="661">
        <f>480*50/1000</f>
        <v>24</v>
      </c>
      <c r="H670" s="182"/>
      <c r="I670" s="182"/>
      <c r="J670" s="182"/>
      <c r="K670" s="182"/>
      <c r="L670" s="182"/>
      <c r="M670" s="182"/>
      <c r="N670" s="182"/>
      <c r="O670" s="182"/>
      <c r="P670" s="182"/>
    </row>
    <row r="671" spans="1:16" s="7" customFormat="1" ht="10.5" customHeight="1" x14ac:dyDescent="0.3">
      <c r="A671" s="637"/>
      <c r="B671" s="153"/>
      <c r="C671" s="153" t="s">
        <v>301</v>
      </c>
      <c r="D671" s="662">
        <f>438*30/1000</f>
        <v>13.14</v>
      </c>
      <c r="E671" s="662">
        <f>350*30/1000</f>
        <v>10.5</v>
      </c>
      <c r="F671" s="662">
        <f>438*50/1000</f>
        <v>21.9</v>
      </c>
      <c r="G671" s="663">
        <f>350*50/1000</f>
        <v>17.5</v>
      </c>
      <c r="H671" s="182"/>
      <c r="I671" s="182"/>
      <c r="J671" s="182"/>
      <c r="K671" s="182"/>
      <c r="L671" s="182"/>
      <c r="M671" s="182"/>
      <c r="N671" s="182"/>
      <c r="O671" s="182"/>
      <c r="P671" s="182"/>
    </row>
    <row r="672" spans="1:16" s="7" customFormat="1" ht="10.5" customHeight="1" x14ac:dyDescent="0.3">
      <c r="A672" s="152"/>
      <c r="B672" s="638" t="s">
        <v>580</v>
      </c>
      <c r="C672" s="153" t="s">
        <v>60</v>
      </c>
      <c r="D672" s="662">
        <f>150*30/1000</f>
        <v>4.5</v>
      </c>
      <c r="E672" s="662">
        <f>120*30/1000</f>
        <v>3.6</v>
      </c>
      <c r="F672" s="662">
        <f>150*50/1000</f>
        <v>7.5</v>
      </c>
      <c r="G672" s="663">
        <f>120*50/1000</f>
        <v>6</v>
      </c>
      <c r="H672" s="182"/>
      <c r="I672" s="182"/>
      <c r="J672" s="182"/>
      <c r="K672" s="182"/>
      <c r="L672" s="182"/>
      <c r="M672" s="182"/>
      <c r="N672" s="182"/>
      <c r="O672" s="182"/>
      <c r="P672" s="182"/>
    </row>
    <row r="673" spans="1:7" ht="10.5" customHeight="1" x14ac:dyDescent="0.3">
      <c r="A673" s="152"/>
      <c r="B673" s="638"/>
      <c r="C673" s="153" t="s">
        <v>337</v>
      </c>
      <c r="D673" s="662">
        <f>150*30/1000</f>
        <v>4.5</v>
      </c>
      <c r="E673" s="662">
        <f>120*30/1000</f>
        <v>3.6</v>
      </c>
      <c r="F673" s="662">
        <f>150*50/1000</f>
        <v>7.5</v>
      </c>
      <c r="G673" s="663">
        <f>120*50/1000</f>
        <v>6</v>
      </c>
    </row>
    <row r="674" spans="1:7" ht="10.5" customHeight="1" x14ac:dyDescent="0.3">
      <c r="A674" s="152"/>
      <c r="B674" s="638"/>
      <c r="C674" s="153" t="s">
        <v>103</v>
      </c>
      <c r="D674" s="662">
        <f>60*30/1000</f>
        <v>1.8</v>
      </c>
      <c r="E674" s="662">
        <f>60*30/1000</f>
        <v>1.8</v>
      </c>
      <c r="F674" s="662">
        <f>60*50/1000</f>
        <v>3</v>
      </c>
      <c r="G674" s="663">
        <f>60*50/1000</f>
        <v>3</v>
      </c>
    </row>
    <row r="675" spans="1:7" ht="10.5" customHeight="1" x14ac:dyDescent="0.3">
      <c r="A675" s="11">
        <v>63</v>
      </c>
      <c r="B675" s="19" t="s">
        <v>330</v>
      </c>
      <c r="C675" s="10" t="s">
        <v>163</v>
      </c>
      <c r="D675" s="662">
        <f>E675*1.33</f>
        <v>18.62</v>
      </c>
      <c r="E675" s="662">
        <f>100*140/1000</f>
        <v>14</v>
      </c>
      <c r="F675" s="662">
        <f>G675*1.33</f>
        <v>22.61</v>
      </c>
      <c r="G675" s="662">
        <f>100*170/1000</f>
        <v>17</v>
      </c>
    </row>
    <row r="676" spans="1:7" ht="10.5" customHeight="1" x14ac:dyDescent="0.3">
      <c r="A676" s="92"/>
      <c r="B676" s="665" t="s">
        <v>603</v>
      </c>
      <c r="C676" s="10" t="s">
        <v>164</v>
      </c>
      <c r="D676" s="662">
        <f>E676*1.43</f>
        <v>20.02</v>
      </c>
      <c r="E676" s="662">
        <f>100*140/1000</f>
        <v>14</v>
      </c>
      <c r="F676" s="662">
        <f>G676*1.43</f>
        <v>24.31</v>
      </c>
      <c r="G676" s="662">
        <f>100*170/1000</f>
        <v>17</v>
      </c>
    </row>
    <row r="677" spans="1:7" ht="10.5" customHeight="1" x14ac:dyDescent="0.3">
      <c r="A677" s="92"/>
      <c r="B677" s="10"/>
      <c r="C677" s="10" t="s">
        <v>165</v>
      </c>
      <c r="D677" s="662">
        <f>E677*1.54</f>
        <v>21.560000000000002</v>
      </c>
      <c r="E677" s="662">
        <f>100*140/1000</f>
        <v>14</v>
      </c>
      <c r="F677" s="662">
        <f>G677*1.54</f>
        <v>26.18</v>
      </c>
      <c r="G677" s="662">
        <f>100*170/1000</f>
        <v>17</v>
      </c>
    </row>
    <row r="678" spans="1:7" ht="10.5" customHeight="1" x14ac:dyDescent="0.3">
      <c r="A678" s="92"/>
      <c r="B678" s="10"/>
      <c r="C678" s="10" t="s">
        <v>166</v>
      </c>
      <c r="D678" s="662">
        <f>E678*1.67</f>
        <v>23.38</v>
      </c>
      <c r="E678" s="662">
        <f>100*140/1000</f>
        <v>14</v>
      </c>
      <c r="F678" s="662">
        <f>G678*1.67</f>
        <v>28.39</v>
      </c>
      <c r="G678" s="662">
        <f>100*170/1000</f>
        <v>17</v>
      </c>
    </row>
    <row r="679" spans="1:7" ht="10.5" customHeight="1" x14ac:dyDescent="0.3">
      <c r="A679" s="92"/>
      <c r="B679" s="10"/>
      <c r="C679" s="10" t="s">
        <v>62</v>
      </c>
      <c r="D679" s="662">
        <f>63*140/1000</f>
        <v>8.82</v>
      </c>
      <c r="E679" s="662">
        <f>50*140/1000</f>
        <v>7</v>
      </c>
      <c r="F679" s="662">
        <f>63*170/1000</f>
        <v>10.71</v>
      </c>
      <c r="G679" s="662">
        <f>50*170/1000</f>
        <v>8.5</v>
      </c>
    </row>
    <row r="680" spans="1:7" ht="10.5" customHeight="1" x14ac:dyDescent="0.3">
      <c r="A680" s="92"/>
      <c r="B680" s="10"/>
      <c r="C680" s="19" t="s">
        <v>60</v>
      </c>
      <c r="D680" s="662">
        <f>48*140/1000</f>
        <v>6.72</v>
      </c>
      <c r="E680" s="662">
        <f>40*140/1000</f>
        <v>5.6</v>
      </c>
      <c r="F680" s="662">
        <f>48*170/1000</f>
        <v>8.16</v>
      </c>
      <c r="G680" s="662">
        <f>40*170/1000</f>
        <v>6.8</v>
      </c>
    </row>
    <row r="681" spans="1:7" ht="10.5" customHeight="1" x14ac:dyDescent="0.3">
      <c r="A681" s="92"/>
      <c r="B681" s="10"/>
      <c r="C681" s="19" t="s">
        <v>103</v>
      </c>
      <c r="D681" s="662">
        <f>10*140/1000</f>
        <v>1.4</v>
      </c>
      <c r="E681" s="662">
        <f>10*140/1000</f>
        <v>1.4</v>
      </c>
      <c r="F681" s="662">
        <f>10*170/1000</f>
        <v>1.7</v>
      </c>
      <c r="G681" s="662">
        <f>10*170/1000</f>
        <v>1.7</v>
      </c>
    </row>
    <row r="682" spans="1:7" ht="10.5" customHeight="1" x14ac:dyDescent="0.3">
      <c r="A682" s="92"/>
      <c r="B682" s="10"/>
      <c r="C682" s="19" t="s">
        <v>104</v>
      </c>
      <c r="D682" s="662">
        <f>200*140/1000</f>
        <v>28</v>
      </c>
      <c r="E682" s="662">
        <f>160*140/1000</f>
        <v>22.4</v>
      </c>
      <c r="F682" s="662">
        <f>200*170/1000</f>
        <v>34</v>
      </c>
      <c r="G682" s="662">
        <f>160*170/1000</f>
        <v>27.2</v>
      </c>
    </row>
    <row r="683" spans="1:7" ht="10.5" customHeight="1" x14ac:dyDescent="0.3">
      <c r="A683" s="92"/>
      <c r="B683" s="10"/>
      <c r="C683" s="19" t="s">
        <v>551</v>
      </c>
      <c r="D683" s="662">
        <f>40*140/1000</f>
        <v>5.6</v>
      </c>
      <c r="E683" s="662">
        <f>40*140/1000</f>
        <v>5.6</v>
      </c>
      <c r="F683" s="662">
        <f>40*170/1000</f>
        <v>6.8</v>
      </c>
      <c r="G683" s="662">
        <f>40*170/1000</f>
        <v>6.8</v>
      </c>
    </row>
    <row r="684" spans="1:7" ht="10.5" customHeight="1" x14ac:dyDescent="0.3">
      <c r="A684" s="92"/>
      <c r="B684" s="10"/>
      <c r="C684" s="19" t="s">
        <v>105</v>
      </c>
      <c r="D684" s="662">
        <v>0</v>
      </c>
      <c r="E684" s="662">
        <v>0</v>
      </c>
      <c r="F684" s="662">
        <f>30*170/1000*0.4</f>
        <v>2.04</v>
      </c>
      <c r="G684" s="663">
        <f>30*170/1000*0.4</f>
        <v>2.04</v>
      </c>
    </row>
    <row r="685" spans="1:7" ht="10.5" customHeight="1" x14ac:dyDescent="0.3">
      <c r="A685" s="92"/>
      <c r="B685" s="10"/>
      <c r="C685" s="19" t="s">
        <v>55</v>
      </c>
      <c r="D685" s="662">
        <f>6*140/1000</f>
        <v>0.84</v>
      </c>
      <c r="E685" s="662">
        <f>6*140/1000</f>
        <v>0.84</v>
      </c>
      <c r="F685" s="662">
        <f>6*170/1000</f>
        <v>1.02</v>
      </c>
      <c r="G685" s="663">
        <f>6*170/1000</f>
        <v>1.02</v>
      </c>
    </row>
    <row r="686" spans="1:7" ht="10.5" customHeight="1" x14ac:dyDescent="0.3">
      <c r="A686" s="92"/>
      <c r="B686" s="10"/>
      <c r="C686" s="19" t="s">
        <v>65</v>
      </c>
      <c r="D686" s="93">
        <v>10</v>
      </c>
      <c r="E686" s="93">
        <v>10</v>
      </c>
      <c r="F686" s="93">
        <v>10</v>
      </c>
      <c r="G686" s="94">
        <v>10</v>
      </c>
    </row>
    <row r="687" spans="1:7" ht="10.5" customHeight="1" x14ac:dyDescent="0.3">
      <c r="A687" s="11">
        <v>253</v>
      </c>
      <c r="B687" s="10" t="s">
        <v>421</v>
      </c>
      <c r="C687" s="153" t="s">
        <v>536</v>
      </c>
      <c r="D687" s="621">
        <v>40</v>
      </c>
      <c r="E687" s="93">
        <v>37</v>
      </c>
      <c r="F687" s="621">
        <v>53</v>
      </c>
      <c r="G687" s="94">
        <v>49</v>
      </c>
    </row>
    <row r="688" spans="1:7" ht="10.5" customHeight="1" x14ac:dyDescent="0.3">
      <c r="A688" s="152"/>
      <c r="B688" s="153" t="s">
        <v>555</v>
      </c>
      <c r="C688" s="153" t="s">
        <v>266</v>
      </c>
      <c r="D688" s="621">
        <f>182*E688/122</f>
        <v>55.196721311475407</v>
      </c>
      <c r="E688" s="93">
        <v>37</v>
      </c>
      <c r="F688" s="621">
        <f>182*G688/122</f>
        <v>73.098360655737707</v>
      </c>
      <c r="G688" s="94">
        <v>49</v>
      </c>
    </row>
    <row r="689" spans="1:7" ht="10.5" customHeight="1" x14ac:dyDescent="0.3">
      <c r="A689" s="152"/>
      <c r="B689" s="153"/>
      <c r="C689" s="153" t="s">
        <v>235</v>
      </c>
      <c r="D689" s="621">
        <f>E689*1.54</f>
        <v>56.980000000000004</v>
      </c>
      <c r="E689" s="93">
        <v>37</v>
      </c>
      <c r="F689" s="621">
        <f>G689*1.54</f>
        <v>75.460000000000008</v>
      </c>
      <c r="G689" s="94">
        <v>49</v>
      </c>
    </row>
    <row r="690" spans="1:7" ht="10.5" customHeight="1" x14ac:dyDescent="0.3">
      <c r="A690" s="152" t="s">
        <v>342</v>
      </c>
      <c r="B690" s="153" t="s">
        <v>556</v>
      </c>
      <c r="C690" s="153" t="s">
        <v>236</v>
      </c>
      <c r="D690" s="621">
        <f>152*E690/91</f>
        <v>61.802197802197803</v>
      </c>
      <c r="E690" s="93">
        <v>37</v>
      </c>
      <c r="F690" s="621">
        <f>152*G690/91</f>
        <v>81.84615384615384</v>
      </c>
      <c r="G690" s="94">
        <v>49</v>
      </c>
    </row>
    <row r="691" spans="1:7" ht="10.5" customHeight="1" x14ac:dyDescent="0.25">
      <c r="A691" s="152"/>
      <c r="B691" s="153"/>
      <c r="C691" s="639" t="s">
        <v>552</v>
      </c>
      <c r="D691" s="640"/>
      <c r="E691" s="640">
        <v>30</v>
      </c>
      <c r="F691" s="640"/>
      <c r="G691" s="641">
        <v>40</v>
      </c>
    </row>
    <row r="692" spans="1:7" ht="10.5" customHeight="1" x14ac:dyDescent="0.25">
      <c r="A692" s="152"/>
      <c r="B692" s="153"/>
      <c r="C692" s="153" t="s">
        <v>554</v>
      </c>
      <c r="D692" s="607">
        <v>14</v>
      </c>
      <c r="E692" s="607">
        <v>10</v>
      </c>
      <c r="F692" s="607">
        <v>18</v>
      </c>
      <c r="G692" s="608">
        <v>13</v>
      </c>
    </row>
    <row r="693" spans="1:7" ht="10.5" customHeight="1" x14ac:dyDescent="0.3">
      <c r="A693" s="152"/>
      <c r="B693" s="153"/>
      <c r="C693" s="10" t="s">
        <v>553</v>
      </c>
      <c r="D693" s="93">
        <v>3</v>
      </c>
      <c r="E693" s="93">
        <v>2</v>
      </c>
      <c r="F693" s="93">
        <v>4</v>
      </c>
      <c r="G693" s="94">
        <v>3</v>
      </c>
    </row>
    <row r="694" spans="1:7" ht="10.5" customHeight="1" x14ac:dyDescent="0.25">
      <c r="A694" s="152"/>
      <c r="B694" s="153"/>
      <c r="C694" s="153" t="s">
        <v>103</v>
      </c>
      <c r="D694" s="607">
        <v>2</v>
      </c>
      <c r="E694" s="607">
        <v>2</v>
      </c>
      <c r="F694" s="607">
        <v>3</v>
      </c>
      <c r="G694" s="608">
        <v>3</v>
      </c>
    </row>
    <row r="695" spans="1:7" ht="10.5" customHeight="1" x14ac:dyDescent="0.25">
      <c r="A695" s="152"/>
      <c r="B695" s="153"/>
      <c r="C695" s="153" t="s">
        <v>0</v>
      </c>
      <c r="D695" s="607">
        <v>3.2</v>
      </c>
      <c r="E695" s="607">
        <v>3</v>
      </c>
      <c r="F695" s="607">
        <v>4.3</v>
      </c>
      <c r="G695" s="608">
        <v>4</v>
      </c>
    </row>
    <row r="696" spans="1:7" ht="10.5" customHeight="1" x14ac:dyDescent="0.3">
      <c r="A696" s="586">
        <v>354</v>
      </c>
      <c r="B696" s="10" t="s">
        <v>64</v>
      </c>
      <c r="C696" s="574" t="s">
        <v>267</v>
      </c>
      <c r="D696" s="64"/>
      <c r="E696" s="64">
        <v>20</v>
      </c>
      <c r="F696" s="64"/>
      <c r="G696" s="575">
        <v>26</v>
      </c>
    </row>
    <row r="697" spans="1:7" ht="10.5" customHeight="1" x14ac:dyDescent="0.3">
      <c r="A697" s="586"/>
      <c r="B697" s="10"/>
      <c r="C697" s="19" t="s">
        <v>56</v>
      </c>
      <c r="D697" s="93">
        <f>8*E696/1000</f>
        <v>0.16</v>
      </c>
      <c r="E697" s="93">
        <f>8*E696/1000</f>
        <v>0.16</v>
      </c>
      <c r="F697" s="93">
        <f>8*G696/1000</f>
        <v>0.20799999999999999</v>
      </c>
      <c r="G697" s="94">
        <f>8*G696/1000</f>
        <v>0.20799999999999999</v>
      </c>
    </row>
    <row r="698" spans="1:7" ht="10.5" customHeight="1" x14ac:dyDescent="0.3">
      <c r="A698" s="586"/>
      <c r="B698" s="10"/>
      <c r="C698" s="19" t="s">
        <v>65</v>
      </c>
      <c r="D698" s="93">
        <f>250*E696/1000</f>
        <v>5</v>
      </c>
      <c r="E698" s="93">
        <f>250*E696/1000</f>
        <v>5</v>
      </c>
      <c r="F698" s="93">
        <f>250*G696/1000</f>
        <v>6.5</v>
      </c>
      <c r="G698" s="94">
        <f>250*G696/1000</f>
        <v>6.5</v>
      </c>
    </row>
    <row r="699" spans="1:7" ht="10.5" customHeight="1" x14ac:dyDescent="0.3">
      <c r="A699" s="586"/>
      <c r="B699" s="10"/>
      <c r="C699" s="19" t="s">
        <v>340</v>
      </c>
      <c r="D699" s="93">
        <f>110*E696/1000</f>
        <v>2.2000000000000002</v>
      </c>
      <c r="E699" s="93">
        <f>110*E696/1000</f>
        <v>2.2000000000000002</v>
      </c>
      <c r="F699" s="93">
        <f>110*G696/1000</f>
        <v>2.86</v>
      </c>
      <c r="G699" s="94">
        <f>110*G696/1000</f>
        <v>2.86</v>
      </c>
    </row>
    <row r="700" spans="1:7" ht="10.5" customHeight="1" x14ac:dyDescent="0.3">
      <c r="A700" s="586"/>
      <c r="B700" s="10"/>
      <c r="C700" s="19" t="s">
        <v>109</v>
      </c>
      <c r="D700" s="93">
        <f>75*E696/1000</f>
        <v>1.5</v>
      </c>
      <c r="E700" s="93">
        <f>75*E696/1000</f>
        <v>1.5</v>
      </c>
      <c r="F700" s="93">
        <f>75*G696/1000</f>
        <v>1.95</v>
      </c>
      <c r="G700" s="94">
        <f>75*G696/1000</f>
        <v>1.95</v>
      </c>
    </row>
    <row r="701" spans="1:7" ht="10.5" customHeight="1" x14ac:dyDescent="0.3">
      <c r="A701" s="586"/>
      <c r="B701" s="10"/>
      <c r="C701" s="19" t="s">
        <v>54</v>
      </c>
      <c r="D701" s="93">
        <f>750*E696/1000</f>
        <v>15</v>
      </c>
      <c r="E701" s="93">
        <f>750*E696/1000</f>
        <v>15</v>
      </c>
      <c r="F701" s="93">
        <f>750*G696/1000</f>
        <v>19.5</v>
      </c>
      <c r="G701" s="94">
        <f>750*G696/1000</f>
        <v>19.5</v>
      </c>
    </row>
    <row r="702" spans="1:7" ht="10.5" customHeight="1" x14ac:dyDescent="0.3">
      <c r="A702" s="92">
        <v>321</v>
      </c>
      <c r="B702" s="10" t="s">
        <v>98</v>
      </c>
      <c r="C702" s="10" t="s">
        <v>163</v>
      </c>
      <c r="D702" s="662">
        <f>E702*1.33</f>
        <v>125.0865</v>
      </c>
      <c r="E702" s="662">
        <f>855*110/1000</f>
        <v>94.05</v>
      </c>
      <c r="F702" s="662">
        <f>G702*1.33</f>
        <v>147.82950000000002</v>
      </c>
      <c r="G702" s="663">
        <f>855*130/1000</f>
        <v>111.15</v>
      </c>
    </row>
    <row r="703" spans="1:7" ht="10.5" customHeight="1" x14ac:dyDescent="0.3">
      <c r="A703" s="92"/>
      <c r="B703" s="10"/>
      <c r="C703" s="10" t="s">
        <v>164</v>
      </c>
      <c r="D703" s="662">
        <f>E703*1.43</f>
        <v>134.4915</v>
      </c>
      <c r="E703" s="662">
        <f>855*110/1000</f>
        <v>94.05</v>
      </c>
      <c r="F703" s="662">
        <f>G703*1.43</f>
        <v>158.94450000000001</v>
      </c>
      <c r="G703" s="663">
        <f>855*130/1000</f>
        <v>111.15</v>
      </c>
    </row>
    <row r="704" spans="1:7" ht="10.5" customHeight="1" x14ac:dyDescent="0.3">
      <c r="A704" s="92"/>
      <c r="B704" s="10"/>
      <c r="C704" s="10" t="s">
        <v>165</v>
      </c>
      <c r="D704" s="662">
        <f>E704*1.54</f>
        <v>144.83699999999999</v>
      </c>
      <c r="E704" s="662">
        <f>855*110/1000</f>
        <v>94.05</v>
      </c>
      <c r="F704" s="662">
        <f>G704*1.54</f>
        <v>171.17100000000002</v>
      </c>
      <c r="G704" s="663">
        <f>855*130/1000</f>
        <v>111.15</v>
      </c>
    </row>
    <row r="705" spans="1:7" ht="10.5" customHeight="1" x14ac:dyDescent="0.3">
      <c r="A705" s="92"/>
      <c r="B705" s="10"/>
      <c r="C705" s="10" t="s">
        <v>166</v>
      </c>
      <c r="D705" s="662">
        <f>E705*1.67</f>
        <v>157.06349999999998</v>
      </c>
      <c r="E705" s="662">
        <f>855*110/1000</f>
        <v>94.05</v>
      </c>
      <c r="F705" s="662">
        <f>G705*1.67</f>
        <v>185.62049999999999</v>
      </c>
      <c r="G705" s="663">
        <f>855*130/1000</f>
        <v>111.15</v>
      </c>
    </row>
    <row r="706" spans="1:7" ht="10.5" customHeight="1" x14ac:dyDescent="0.3">
      <c r="A706" s="92" t="s">
        <v>133</v>
      </c>
      <c r="B706" s="665" t="s">
        <v>582</v>
      </c>
      <c r="C706" s="10" t="s">
        <v>114</v>
      </c>
      <c r="D706" s="662">
        <f>158*110/1000</f>
        <v>17.38</v>
      </c>
      <c r="E706" s="662">
        <f>150*110/1000</f>
        <v>16.5</v>
      </c>
      <c r="F706" s="662">
        <f>158*130/1000</f>
        <v>20.54</v>
      </c>
      <c r="G706" s="663">
        <f>150*130/1000</f>
        <v>19.5</v>
      </c>
    </row>
    <row r="707" spans="1:7" ht="10.5" customHeight="1" x14ac:dyDescent="0.3">
      <c r="A707" s="92"/>
      <c r="B707" s="10"/>
      <c r="C707" s="10" t="s">
        <v>122</v>
      </c>
      <c r="D707" s="662">
        <f>D706*0.12</f>
        <v>2.0855999999999999</v>
      </c>
      <c r="E707" s="662">
        <f>E706*0.12</f>
        <v>1.98</v>
      </c>
      <c r="F707" s="662">
        <f>F706*0.12</f>
        <v>2.4647999999999999</v>
      </c>
      <c r="G707" s="663">
        <f>G706*0.12</f>
        <v>2.34</v>
      </c>
    </row>
    <row r="708" spans="1:7" ht="10.5" customHeight="1" x14ac:dyDescent="0.3">
      <c r="A708" s="92"/>
      <c r="B708" s="10"/>
      <c r="C708" s="10" t="s">
        <v>57</v>
      </c>
      <c r="D708" s="662">
        <f>35*110/1000</f>
        <v>3.85</v>
      </c>
      <c r="E708" s="662">
        <f>35*110/1000</f>
        <v>3.85</v>
      </c>
      <c r="F708" s="662">
        <f>35*130/1000</f>
        <v>4.55</v>
      </c>
      <c r="G708" s="663">
        <f>35*130/1000</f>
        <v>4.55</v>
      </c>
    </row>
    <row r="709" spans="1:7" ht="10.5" customHeight="1" x14ac:dyDescent="0.3">
      <c r="A709" s="92"/>
      <c r="B709" s="10"/>
      <c r="C709" s="10" t="s">
        <v>56</v>
      </c>
      <c r="D709" s="93">
        <f>0.001*150</f>
        <v>0.15</v>
      </c>
      <c r="E709" s="93">
        <f>0.001*150</f>
        <v>0.15</v>
      </c>
      <c r="F709" s="93">
        <f>0.001*150</f>
        <v>0.15</v>
      </c>
      <c r="G709" s="94">
        <f>0.001*150</f>
        <v>0.15</v>
      </c>
    </row>
    <row r="710" spans="1:7" ht="10.5" customHeight="1" x14ac:dyDescent="0.3">
      <c r="A710" s="11">
        <v>372</v>
      </c>
      <c r="B710" s="10" t="s">
        <v>414</v>
      </c>
      <c r="C710" s="10" t="s">
        <v>557</v>
      </c>
      <c r="D710" s="93">
        <f>227*150/1000</f>
        <v>34.049999999999997</v>
      </c>
      <c r="E710" s="93">
        <f>200*150/1000</f>
        <v>30</v>
      </c>
      <c r="F710" s="93">
        <f>227*180/1000</f>
        <v>40.86</v>
      </c>
      <c r="G710" s="94">
        <f>200*180/1000</f>
        <v>36</v>
      </c>
    </row>
    <row r="711" spans="1:7" ht="10.5" customHeight="1" x14ac:dyDescent="0.3">
      <c r="A711" s="92"/>
      <c r="B711" s="10" t="s">
        <v>343</v>
      </c>
      <c r="C711" s="10" t="s">
        <v>499</v>
      </c>
      <c r="D711" s="93">
        <f>150*222/1000</f>
        <v>33.299999999999997</v>
      </c>
      <c r="E711" s="93">
        <f>200*150/1000</f>
        <v>30</v>
      </c>
      <c r="F711" s="93">
        <f>180*222/1000</f>
        <v>39.96</v>
      </c>
      <c r="G711" s="94">
        <f>200*180/1000</f>
        <v>36</v>
      </c>
    </row>
    <row r="712" spans="1:7" ht="10.5" customHeight="1" x14ac:dyDescent="0.3">
      <c r="A712" s="92"/>
      <c r="B712" s="10"/>
      <c r="C712" s="10" t="s">
        <v>55</v>
      </c>
      <c r="D712" s="93">
        <f>100*150/1000</f>
        <v>15</v>
      </c>
      <c r="E712" s="93">
        <f>100*150/1000</f>
        <v>15</v>
      </c>
      <c r="F712" s="93">
        <f>100*180/1000</f>
        <v>18</v>
      </c>
      <c r="G712" s="94">
        <f>100*180/1000</f>
        <v>18</v>
      </c>
    </row>
    <row r="713" spans="1:7" ht="10.5" customHeight="1" x14ac:dyDescent="0.3">
      <c r="A713" s="152"/>
      <c r="B713" s="153"/>
      <c r="C713" s="10" t="s">
        <v>54</v>
      </c>
      <c r="D713" s="93">
        <f>830*150/1000</f>
        <v>124.5</v>
      </c>
      <c r="E713" s="93">
        <f>830*150/1000</f>
        <v>124.5</v>
      </c>
      <c r="F713" s="93">
        <f>830*180/1000</f>
        <v>149.4</v>
      </c>
      <c r="G713" s="94">
        <f>830*180/1000</f>
        <v>149.4</v>
      </c>
    </row>
    <row r="714" spans="1:7" ht="10.5" customHeight="1" x14ac:dyDescent="0.25">
      <c r="A714" s="152">
        <v>1</v>
      </c>
      <c r="B714" s="153" t="s">
        <v>72</v>
      </c>
      <c r="C714" s="153" t="s">
        <v>72</v>
      </c>
      <c r="D714" s="607">
        <v>20</v>
      </c>
      <c r="E714" s="607">
        <v>20</v>
      </c>
      <c r="F714" s="607">
        <v>30</v>
      </c>
      <c r="G714" s="608">
        <v>30</v>
      </c>
    </row>
    <row r="715" spans="1:7" ht="10.5" customHeight="1" thickBot="1" x14ac:dyDescent="0.3">
      <c r="A715" s="642">
        <v>1</v>
      </c>
      <c r="B715" s="643" t="s">
        <v>17</v>
      </c>
      <c r="C715" s="643" t="s">
        <v>17</v>
      </c>
      <c r="D715" s="644">
        <v>17</v>
      </c>
      <c r="E715" s="644">
        <v>17</v>
      </c>
      <c r="F715" s="644">
        <v>21</v>
      </c>
      <c r="G715" s="645">
        <v>21</v>
      </c>
    </row>
    <row r="716" spans="1:7" ht="10.5" customHeight="1" x14ac:dyDescent="0.25">
      <c r="A716" s="509">
        <v>304</v>
      </c>
      <c r="B716" s="646" t="s">
        <v>403</v>
      </c>
      <c r="C716" s="647" t="s">
        <v>187</v>
      </c>
      <c r="D716" s="648">
        <f>84*40/60</f>
        <v>56</v>
      </c>
      <c r="E716" s="649">
        <f>82*40/60</f>
        <v>54.666666666666664</v>
      </c>
      <c r="F716" s="648">
        <f>84*50/60</f>
        <v>70</v>
      </c>
      <c r="G716" s="650">
        <f>82*50/60</f>
        <v>68.333333333333329</v>
      </c>
    </row>
    <row r="717" spans="1:7" ht="10.5" customHeight="1" x14ac:dyDescent="0.25">
      <c r="A717" s="540"/>
      <c r="B717" s="633" t="s">
        <v>336</v>
      </c>
      <c r="C717" s="651" t="s">
        <v>154</v>
      </c>
      <c r="D717" s="607">
        <f>119*40/60</f>
        <v>79.333333333333329</v>
      </c>
      <c r="E717" s="607">
        <f>68*40/60</f>
        <v>45.333333333333336</v>
      </c>
      <c r="F717" s="607">
        <f>119*50/60</f>
        <v>99.166666666666671</v>
      </c>
      <c r="G717" s="608">
        <f>68*50/60</f>
        <v>56.666666666666664</v>
      </c>
    </row>
    <row r="718" spans="1:7" ht="10.5" customHeight="1" x14ac:dyDescent="0.25">
      <c r="A718" s="540"/>
      <c r="B718" s="135"/>
      <c r="C718" s="652" t="s">
        <v>558</v>
      </c>
      <c r="D718" s="640"/>
      <c r="E718" s="640">
        <v>40</v>
      </c>
      <c r="F718" s="640"/>
      <c r="G718" s="641">
        <v>50</v>
      </c>
    </row>
    <row r="719" spans="1:7" ht="10.5" customHeight="1" x14ac:dyDescent="0.25">
      <c r="A719" s="540"/>
      <c r="B719" s="633"/>
      <c r="C719" s="651" t="s">
        <v>103</v>
      </c>
      <c r="D719" s="607">
        <f>6*80/100</f>
        <v>4.8</v>
      </c>
      <c r="E719" s="607">
        <f>6*80/100</f>
        <v>4.8</v>
      </c>
      <c r="F719" s="607">
        <f>6</f>
        <v>6</v>
      </c>
      <c r="G719" s="607">
        <v>6</v>
      </c>
    </row>
    <row r="720" spans="1:7" ht="10.5" customHeight="1" x14ac:dyDescent="0.25">
      <c r="A720" s="11"/>
      <c r="B720" s="633"/>
      <c r="C720" s="115" t="s">
        <v>62</v>
      </c>
      <c r="D720" s="607">
        <f>16*80/100</f>
        <v>12.8</v>
      </c>
      <c r="E720" s="607">
        <f>13*80/100</f>
        <v>10.4</v>
      </c>
      <c r="F720" s="607">
        <v>16</v>
      </c>
      <c r="G720" s="607">
        <v>13</v>
      </c>
    </row>
    <row r="721" spans="1:7" ht="10.5" customHeight="1" x14ac:dyDescent="0.25">
      <c r="A721" s="11"/>
      <c r="B721" s="633"/>
      <c r="C721" s="115" t="s">
        <v>60</v>
      </c>
      <c r="D721" s="607">
        <f>8*80/100</f>
        <v>6.4</v>
      </c>
      <c r="E721" s="607">
        <f>7*80/100</f>
        <v>5.6</v>
      </c>
      <c r="F721" s="607">
        <v>8</v>
      </c>
      <c r="G721" s="607">
        <v>7</v>
      </c>
    </row>
    <row r="722" spans="1:7" ht="10.5" customHeight="1" x14ac:dyDescent="0.25">
      <c r="A722" s="11"/>
      <c r="B722" s="633"/>
      <c r="C722" s="115" t="s">
        <v>105</v>
      </c>
      <c r="D722" s="607">
        <v>0</v>
      </c>
      <c r="E722" s="607">
        <v>0</v>
      </c>
      <c r="F722" s="607">
        <v>0</v>
      </c>
      <c r="G722" s="607">
        <v>0</v>
      </c>
    </row>
    <row r="723" spans="1:7" ht="10.5" customHeight="1" x14ac:dyDescent="0.25">
      <c r="A723" s="11"/>
      <c r="B723" s="633"/>
      <c r="C723" s="115" t="s">
        <v>108</v>
      </c>
      <c r="D723" s="607">
        <f>35*80/100</f>
        <v>28</v>
      </c>
      <c r="E723" s="607">
        <f>35*80/100</f>
        <v>28</v>
      </c>
      <c r="F723" s="607">
        <v>35</v>
      </c>
      <c r="G723" s="607">
        <v>35</v>
      </c>
    </row>
    <row r="724" spans="1:7" ht="10.5" customHeight="1" x14ac:dyDescent="0.25">
      <c r="A724" s="11">
        <v>400</v>
      </c>
      <c r="B724" s="633" t="s">
        <v>390</v>
      </c>
      <c r="C724" s="115" t="s">
        <v>525</v>
      </c>
      <c r="D724" s="705">
        <v>160.69999999999999</v>
      </c>
      <c r="E724" s="705">
        <v>150</v>
      </c>
      <c r="F724" s="705">
        <v>190.7</v>
      </c>
      <c r="G724" s="706">
        <v>180</v>
      </c>
    </row>
    <row r="725" spans="1:7" ht="10.5" customHeight="1" x14ac:dyDescent="0.25">
      <c r="A725" s="620">
        <v>454</v>
      </c>
      <c r="B725" s="153" t="s">
        <v>520</v>
      </c>
      <c r="C725" s="606" t="s">
        <v>521</v>
      </c>
      <c r="D725" s="621">
        <v>39</v>
      </c>
      <c r="E725" s="621">
        <v>39</v>
      </c>
      <c r="F725" s="621">
        <v>39</v>
      </c>
      <c r="G725" s="622">
        <v>39</v>
      </c>
    </row>
    <row r="726" spans="1:7" ht="10.5" customHeight="1" x14ac:dyDescent="0.25">
      <c r="A726" s="620"/>
      <c r="B726" s="153"/>
      <c r="C726" s="627" t="s">
        <v>66</v>
      </c>
      <c r="D726" s="621">
        <f>641*D725/1000</f>
        <v>24.998999999999999</v>
      </c>
      <c r="E726" s="621">
        <f>641*E725/1000</f>
        <v>24.998999999999999</v>
      </c>
      <c r="F726" s="621">
        <f>641*F725/1000</f>
        <v>24.998999999999999</v>
      </c>
      <c r="G726" s="622">
        <f>641*G725/1000</f>
        <v>24.998999999999999</v>
      </c>
    </row>
    <row r="727" spans="1:7" ht="10.5" customHeight="1" x14ac:dyDescent="0.25">
      <c r="A727" s="620"/>
      <c r="B727" s="153"/>
      <c r="C727" s="627" t="s">
        <v>55</v>
      </c>
      <c r="D727" s="621">
        <f>34*D725/1000</f>
        <v>1.3260000000000001</v>
      </c>
      <c r="E727" s="621">
        <f>34*E725/1000</f>
        <v>1.3260000000000001</v>
      </c>
      <c r="F727" s="621">
        <f>34*F725/1000</f>
        <v>1.3260000000000001</v>
      </c>
      <c r="G727" s="622">
        <f>34*G725/1000</f>
        <v>1.3260000000000001</v>
      </c>
    </row>
    <row r="728" spans="1:7" ht="10.5" customHeight="1" x14ac:dyDescent="0.25">
      <c r="A728" s="620"/>
      <c r="B728" s="153"/>
      <c r="C728" s="627" t="s">
        <v>136</v>
      </c>
      <c r="D728" s="621">
        <f>29*D725/1000</f>
        <v>1.131</v>
      </c>
      <c r="E728" s="621">
        <f>29*E725/1000</f>
        <v>1.131</v>
      </c>
      <c r="F728" s="621">
        <f>29*F725/1000</f>
        <v>1.131</v>
      </c>
      <c r="G728" s="622">
        <f>29*G725/1000</f>
        <v>1.131</v>
      </c>
    </row>
    <row r="729" spans="1:7" ht="10.5" customHeight="1" x14ac:dyDescent="0.25">
      <c r="A729" s="620"/>
      <c r="B729" s="153"/>
      <c r="C729" s="627" t="s">
        <v>121</v>
      </c>
      <c r="D729" s="621">
        <f>34*D725/1000</f>
        <v>1.3260000000000001</v>
      </c>
      <c r="E729" s="621">
        <f>34*E725/1000</f>
        <v>1.3260000000000001</v>
      </c>
      <c r="F729" s="621">
        <f>34*F725/1000</f>
        <v>1.3260000000000001</v>
      </c>
      <c r="G729" s="622">
        <f>34*G725/1000</f>
        <v>1.3260000000000001</v>
      </c>
    </row>
    <row r="730" spans="1:7" ht="10.5" customHeight="1" x14ac:dyDescent="0.25">
      <c r="A730" s="620"/>
      <c r="B730" s="153"/>
      <c r="C730" s="627" t="s">
        <v>522</v>
      </c>
      <c r="D730" s="621">
        <v>1</v>
      </c>
      <c r="E730" s="621">
        <v>1</v>
      </c>
      <c r="F730" s="621">
        <v>1</v>
      </c>
      <c r="G730" s="622">
        <v>1</v>
      </c>
    </row>
    <row r="731" spans="1:7" ht="10.5" customHeight="1" x14ac:dyDescent="0.25">
      <c r="A731" s="620"/>
      <c r="B731" s="638"/>
      <c r="C731" s="627" t="s">
        <v>56</v>
      </c>
      <c r="D731" s="621">
        <f>10*D725/1000</f>
        <v>0.39</v>
      </c>
      <c r="E731" s="621">
        <f>10*E725/1000</f>
        <v>0.39</v>
      </c>
      <c r="F731" s="621">
        <f>10*F725/1000</f>
        <v>0.39</v>
      </c>
      <c r="G731" s="622">
        <f>10*G725/1000</f>
        <v>0.39</v>
      </c>
    </row>
    <row r="732" spans="1:7" ht="10.5" customHeight="1" x14ac:dyDescent="0.25">
      <c r="A732" s="620" t="s">
        <v>342</v>
      </c>
      <c r="B732" s="638">
        <v>55.7</v>
      </c>
      <c r="C732" s="627" t="s">
        <v>140</v>
      </c>
      <c r="D732" s="621">
        <f>4.75*D725/1000</f>
        <v>0.18525</v>
      </c>
      <c r="E732" s="621">
        <f>4.75*E725/1000</f>
        <v>0.18525</v>
      </c>
      <c r="F732" s="621">
        <f>4.75*F725/1000</f>
        <v>0.18525</v>
      </c>
      <c r="G732" s="622">
        <f>4.75*G725/1000</f>
        <v>0.18525</v>
      </c>
    </row>
    <row r="733" spans="1:7" ht="10.5" customHeight="1" x14ac:dyDescent="0.25">
      <c r="A733" s="620"/>
      <c r="B733" s="153"/>
      <c r="C733" s="627" t="s">
        <v>153</v>
      </c>
      <c r="D733" s="653">
        <f>116/100</f>
        <v>1.1599999999999999</v>
      </c>
      <c r="E733" s="653">
        <f>116/100</f>
        <v>1.1599999999999999</v>
      </c>
      <c r="F733" s="653">
        <f>116/100</f>
        <v>1.1599999999999999</v>
      </c>
      <c r="G733" s="654">
        <f>116/100</f>
        <v>1.1599999999999999</v>
      </c>
    </row>
    <row r="734" spans="1:7" ht="10.5" customHeight="1" x14ac:dyDescent="0.25">
      <c r="A734" s="620"/>
      <c r="B734" s="153"/>
      <c r="C734" s="627" t="s">
        <v>54</v>
      </c>
      <c r="D734" s="621">
        <f>258*D725/1000</f>
        <v>10.061999999999999</v>
      </c>
      <c r="E734" s="621">
        <f>258*E725/1000</f>
        <v>10.061999999999999</v>
      </c>
      <c r="F734" s="621">
        <f>258*F725/1000</f>
        <v>10.061999999999999</v>
      </c>
      <c r="G734" s="622">
        <f>258*G725/1000</f>
        <v>10.061999999999999</v>
      </c>
    </row>
    <row r="735" spans="1:7" ht="10.5" customHeight="1" x14ac:dyDescent="0.25">
      <c r="A735" s="620"/>
      <c r="B735" s="153"/>
      <c r="C735" s="627" t="s">
        <v>523</v>
      </c>
      <c r="D735" s="621">
        <v>16.8</v>
      </c>
      <c r="E735" s="621">
        <v>16.7</v>
      </c>
      <c r="F735" s="621">
        <v>16.8</v>
      </c>
      <c r="G735" s="622">
        <v>16.7</v>
      </c>
    </row>
    <row r="736" spans="1:7" ht="10.5" customHeight="1" x14ac:dyDescent="0.25">
      <c r="A736" s="620"/>
      <c r="B736" s="153"/>
      <c r="C736" s="627" t="s">
        <v>524</v>
      </c>
      <c r="D736" s="621">
        <v>1.7</v>
      </c>
      <c r="E736" s="621">
        <v>1.7</v>
      </c>
      <c r="F736" s="621">
        <v>1.7</v>
      </c>
      <c r="G736" s="622">
        <v>1.7</v>
      </c>
    </row>
    <row r="737" spans="1:7" ht="10.5" customHeight="1" thickBot="1" x14ac:dyDescent="0.3">
      <c r="A737" s="655">
        <v>1</v>
      </c>
      <c r="B737" s="656" t="s">
        <v>162</v>
      </c>
      <c r="C737" s="656" t="s">
        <v>139</v>
      </c>
      <c r="D737" s="112">
        <v>17</v>
      </c>
      <c r="E737" s="112">
        <v>17</v>
      </c>
      <c r="F737" s="657">
        <v>21</v>
      </c>
      <c r="G737" s="658">
        <v>21</v>
      </c>
    </row>
  </sheetData>
  <mergeCells count="30">
    <mergeCell ref="F657:G657"/>
    <mergeCell ref="B381:B382"/>
    <mergeCell ref="F512:G512"/>
    <mergeCell ref="F155:G155"/>
    <mergeCell ref="D445:E445"/>
    <mergeCell ref="B657:B658"/>
    <mergeCell ref="B579:B580"/>
    <mergeCell ref="C657:C658"/>
    <mergeCell ref="D579:E579"/>
    <mergeCell ref="F579:G579"/>
    <mergeCell ref="F445:G445"/>
    <mergeCell ref="D381:E381"/>
    <mergeCell ref="F381:G381"/>
    <mergeCell ref="B155:B156"/>
    <mergeCell ref="D310:E310"/>
    <mergeCell ref="D657:E657"/>
    <mergeCell ref="B445:B446"/>
    <mergeCell ref="D512:E512"/>
    <mergeCell ref="B62:B63"/>
    <mergeCell ref="B512:B513"/>
    <mergeCell ref="F310:G310"/>
    <mergeCell ref="B1:B2"/>
    <mergeCell ref="D1:E1"/>
    <mergeCell ref="F1:G1"/>
    <mergeCell ref="B232:B233"/>
    <mergeCell ref="D232:E232"/>
    <mergeCell ref="F232:G232"/>
    <mergeCell ref="D155:E155"/>
    <mergeCell ref="F62:G62"/>
    <mergeCell ref="D62:E62"/>
  </mergeCells>
  <phoneticPr fontId="0" type="noConversion"/>
  <pageMargins left="0.75" right="0.15" top="0.15" bottom="0.14000000000000001" header="0.15" footer="0.140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2-3;3-7</vt:lpstr>
      <vt:lpstr>н факт 1-3</vt:lpstr>
      <vt:lpstr>н факт3-7</vt:lpstr>
      <vt:lpstr>20 дней (2)</vt:lpstr>
      <vt:lpstr>2я 10 дн. перспективка</vt:lpstr>
      <vt:lpstr>расчет вложения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lastPrinted>2022-06-16T04:37:46Z</cp:lastPrinted>
  <dcterms:created xsi:type="dcterms:W3CDTF">1996-10-08T23:32:33Z</dcterms:created>
  <dcterms:modified xsi:type="dcterms:W3CDTF">2022-07-22T02:01:01Z</dcterms:modified>
</cp:coreProperties>
</file>